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ktQpMxqhEJUo+Zwb1qR1jS+JdpiWUMbwxBHaGPLPD2eTRk7s69r5HQGLMfn3S7b97w9MaMONl1LOHidfRI77A==" workbookSaltValue="RnLunCxZHU2b2HC49wUYh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E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13" i="7"/>
  <c r="E18" i="12"/>
  <c r="EL19" i="8"/>
  <c r="AP12" i="11"/>
  <c r="EN19" i="8"/>
  <c r="BA13" i="16"/>
  <c r="J10" i="2"/>
  <c r="AP10" i="11"/>
  <c r="ES19" i="8"/>
  <c r="G18" i="12"/>
  <c r="BM19" i="8"/>
  <c r="AL13" i="16"/>
  <c r="S13" i="16"/>
  <c r="P13" i="16"/>
  <c r="AM13" i="20"/>
  <c r="H13" i="12"/>
  <c r="BG10" i="8"/>
  <c r="BD9" i="8"/>
  <c r="T13" i="20"/>
  <c r="T13" i="16"/>
  <c r="AP13" i="16"/>
  <c r="BG15"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BM18" i="16"/>
  <c r="BF16" i="8"/>
  <c r="BD15" i="8"/>
  <c r="AV18" i="21"/>
  <c r="C18" i="7"/>
  <c r="I19" i="8"/>
  <c r="AC10" i="11"/>
  <c r="Z13" i="17"/>
  <c r="G10" i="3"/>
  <c r="F13" i="7"/>
  <c r="BA13" i="8"/>
  <c r="S19" i="8"/>
  <c r="T10" i="21"/>
  <c r="E13" i="17"/>
  <c r="M18" i="2"/>
  <c r="C11" i="6"/>
  <c r="B17" i="6"/>
  <c r="BH9" i="16"/>
  <c r="BI10" i="11"/>
  <c r="BG15" i="11"/>
  <c r="BV12" i="16"/>
  <c r="S12" i="14"/>
  <c r="V12" i="14" s="1"/>
  <c r="AQ10" i="21"/>
  <c r="AQ12" i="21"/>
  <c r="BJ11" i="11"/>
  <c r="T15" i="16"/>
  <c r="U10" i="17"/>
  <c r="BG12" i="11"/>
  <c r="BH11" i="11"/>
  <c r="L12" i="2"/>
  <c r="AO9" i="11"/>
  <c r="AN12" i="11"/>
  <c r="D10" i="6"/>
  <c r="BF15" i="8"/>
  <c r="J15" i="7" s="1"/>
  <c r="BF11" i="8"/>
  <c r="BF9" i="8"/>
  <c r="BG9" i="8"/>
  <c r="K9" i="7" s="1"/>
  <c r="BG12" i="8"/>
  <c r="E9" i="6"/>
  <c r="K9" i="12" s="1"/>
  <c r="AO17" i="11"/>
  <c r="AO15" i="11"/>
  <c r="AL16" i="11"/>
  <c r="AB13" i="21"/>
  <c r="AB19" i="21" s="1"/>
  <c r="BG16" i="13"/>
  <c r="BD16" i="13"/>
  <c r="BE15" i="13"/>
  <c r="F15" i="16"/>
  <c r="BL15" i="16" s="1"/>
  <c r="BE12" i="21"/>
  <c r="BE9" i="13"/>
  <c r="AL9" i="11"/>
  <c r="E11" i="6"/>
  <c r="V12" i="21"/>
  <c r="BL12" i="11"/>
  <c r="V11" i="16"/>
  <c r="BJ17" i="11"/>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5" i="12" l="1"/>
  <c r="K15" i="12"/>
  <c r="K16" i="12"/>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<sst xmlns="http://schemas.openxmlformats.org/spreadsheetml/2006/main" count="2080" uniqueCount="905">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</sst>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c4Au2u20X3z3facE0lLUjVb7JSV+YFpEl6Ba/u98psQOOzQfuGv7B9ylAPAJrp9/REJ8eaXLaDy0FF88wi26g==" saltValue="yaMfnfLGbcyaUdtB3qZO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59.16098334655036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77</v>
      </c>
      <c r="D10" s="229">
        <f>IF(ISNUMBER(Datos!I10),Datos!I10," - ")</f>
        <v>77</v>
      </c>
      <c r="E10" s="230">
        <f>IF(ISNUMBER(Datos!J10),Datos!J10," - ")</f>
        <v>63</v>
      </c>
      <c r="F10" s="230">
        <f>IF(ISNUMBER(Datos!K10),Datos!K10," - ")</f>
        <v>33</v>
      </c>
      <c r="G10" s="1189" t="str">
        <f>IF(Datos!E10&lt;&gt;"",Datos!E10,Datos!D10)</f>
        <v>37</v>
      </c>
      <c r="H10" s="231">
        <f>IF(ISNUMBER(Datos!L10),Datos!L10," - ")</f>
        <v>107</v>
      </c>
      <c r="I10" s="1199" t="str">
        <f>IF(ISNUMBER(Datos!AS10/Datos!BM10),Datos!AS10/Datos!BM10," - ")</f>
        <v xml:space="preserve"> - </v>
      </c>
      <c r="J10" s="1200">
        <f>IF(ISNUMBER(Datos!BY10/Datos!CN10),Datos!BY10/Datos!CN10," - ")</f>
        <v>0</v>
      </c>
      <c r="K10" s="234">
        <f t="shared" ref="K10:K12" si="1">IF(ISNUMBER((E10-F10)/C10),(E10-F10)/C10," - ")</f>
        <v>0.38961038961038963</v>
      </c>
      <c r="L10" s="1201">
        <f>IF(ISNUMBER(NºAsuntos!I10/NºAsuntos!G10),(NºAsuntos!I10/NºAsuntos!G10)*11," - ")</f>
        <v>35.666666666666664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77</v>
      </c>
      <c r="D13" s="1206">
        <f>SUBTOTAL(9,D9:D12)</f>
        <v>77</v>
      </c>
      <c r="E13" s="1207">
        <f>SUBTOTAL(9,E9:E12)</f>
        <v>63</v>
      </c>
      <c r="F13" s="1208">
        <f>SUBTOTAL(9,F9:F12)</f>
        <v>33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4900</v>
      </c>
      <c r="D15" s="229">
        <f>IF(ISNUMBER(IF(D_I="SI",Datos!I15,Datos!I15+Datos!AC15)),IF(D_I="SI",Datos!I15,Datos!I15+Datos!AC15)," - ")</f>
        <v>4903</v>
      </c>
      <c r="E15" s="230">
        <f>IF(ISNUMBER(IF(D_I="SI",Datos!J15,Datos!J15+Datos!AD15)),IF(D_I="SI",Datos!J15,Datos!J15+Datos!AD15)," - ")</f>
        <v>3463</v>
      </c>
      <c r="F15" s="230">
        <f>IF(ISNUMBER(IF(D_I="SI",Datos!K15,Datos!K15+Datos!AE15)),IF(D_I="SI",Datos!K15,Datos!K15+Datos!AE15)," - ")</f>
        <v>3414</v>
      </c>
      <c r="G15" s="1189" t="str">
        <f>IF(Datos!E15&lt;&gt;"",Datos!E15,Datos!D15)</f>
        <v>03</v>
      </c>
      <c r="H15" s="231">
        <f>IF(ISNUMBER(IF(D_I="SI",Datos!L15,Datos!L15+Datos!AF15)),IF(D_I="SI",Datos!L15,Datos!L15+Datos!AF15)," - ")</f>
        <v>4949</v>
      </c>
      <c r="I15" s="1199" t="str">
        <f>IF(ISNUMBER(Datos!AS15/Datos!BM15),Datos!AS15/Datos!BM15," - ")</f>
        <v xml:space="preserve"> - </v>
      </c>
      <c r="J15" s="1200">
        <f>IF(ISNUMBER(Datos!BY15/Datos!CN15),Datos!BY15/Datos!CN15," - ")</f>
        <v>0</v>
      </c>
      <c r="K15" s="234">
        <f t="shared" ref="K15:K17" si="3">IF(ISNUMBER((E15-F15)/C15),(E15-F15)/C15," - ")</f>
        <v>0.01</v>
      </c>
      <c r="L15" s="1201">
        <f>IF(ISNUMBER(NºAsuntos!I15/NºAsuntos!G15),(NºAsuntos!I15/NºAsuntos!G15)*11," - ")</f>
        <v>15.94581136496778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7</v>
      </c>
      <c r="D16" s="229">
        <f>IF(ISNUMBER(IF(D_I="SI",Datos!I16,Datos!I16+Datos!AC16)),IF(D_I="SI",Datos!I16,Datos!I16+Datos!AC16)," - ")</f>
        <v>7</v>
      </c>
      <c r="E16" s="230">
        <f>IF(ISNUMBER(IF(D_I="SI",Datos!J16,Datos!J16+Datos!AD16)),IF(D_I="SI",Datos!J16,Datos!J16+Datos!AD16)," - ")</f>
        <v>0</v>
      </c>
      <c r="F16" s="230">
        <f>IF(ISNUMBER(IF(D_I="SI",Datos!K16,Datos!K16+Datos!AE16)),IF(D_I="SI",Datos!K16,Datos!K16+Datos!AE16)," - ")</f>
        <v>1</v>
      </c>
      <c r="G16" s="1189" t="str">
        <f>IF(Datos!E16&lt;&gt;"",Datos!E16,Datos!D16)</f>
        <v>04</v>
      </c>
      <c r="H16" s="231">
        <f>IF(ISNUMBER(IF(D_I="SI",Datos!L16,Datos!L16+Datos!AF16)),IF(D_I="SI",Datos!L16,Datos!L16+Datos!AF16)," - ")</f>
        <v>6</v>
      </c>
      <c r="I16" s="1199" t="str">
        <f>IF(ISNUMBER(Datos!AS16/Datos!BM16),Datos!AS16/Datos!BM16," - ")</f>
        <v xml:space="preserve"> - </v>
      </c>
      <c r="J16" s="1200">
        <f>IF(ISNUMBER(Datos!BY16/Datos!CN16),Datos!BY16/Datos!CN16," - ")</f>
        <v>0</v>
      </c>
      <c r="K16" s="234">
        <f t="shared" si="3"/>
        <v>-0.14285714285714285</v>
      </c>
      <c r="L16" s="1201">
        <f>IF(ISNUMBER(NºAsuntos!I16/NºAsuntos!G16),(NºAsuntos!I16/NºAsuntos!G16)*11," - ")</f>
        <v>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112</v>
      </c>
      <c r="D17" s="229">
        <f>IF(ISNUMBER(IF(D_I="SI",Datos!I17,Datos!I17+Datos!AC17)),IF(D_I="SI",Datos!I17,Datos!I17+Datos!AC17)," - ")</f>
        <v>112</v>
      </c>
      <c r="E17" s="230">
        <f>IF(ISNUMBER(IF(D_I="SI",Datos!J17,Datos!J17+Datos!AD17)),IF(D_I="SI",Datos!J17,Datos!J17+Datos!AD17)," - ")</f>
        <v>456</v>
      </c>
      <c r="F17" s="230">
        <f>IF(ISNUMBER(IF(D_I="SI",Datos!K17,Datos!K17+Datos!AE17)),IF(D_I="SI",Datos!K17,Datos!K17+Datos!AE17)," - ")</f>
        <v>406</v>
      </c>
      <c r="G17" s="1189" t="str">
        <f>IF(Datos!E17&lt;&gt;"",Datos!E17,Datos!D17)</f>
        <v>37</v>
      </c>
      <c r="H17" s="231">
        <f>IF(ISNUMBER(IF(D_I="SI",Datos!L17,Datos!L17+Datos!AF17)),IF(D_I="SI",Datos!L17,Datos!L17+Datos!AF17)," - ")</f>
        <v>162</v>
      </c>
      <c r="I17" s="1199" t="str">
        <f>IF(ISNUMBER(Datos!AS17/Datos!BM17),Datos!AS17/Datos!BM17," - ")</f>
        <v xml:space="preserve"> - </v>
      </c>
      <c r="J17" s="1200" t="str">
        <f>IF(ISNUMBER((Datos!BY17+Datos!BZ17)/Datos!CN17),(Datos!BY17+Datos!BZ17)/Datos!CN17," - ")</f>
        <v xml:space="preserve"> - </v>
      </c>
      <c r="K17" s="234">
        <f t="shared" si="3"/>
        <v>0.44642857142857145</v>
      </c>
      <c r="L17" s="1201">
        <f>IF(ISNUMBER(NºAsuntos!I17/NºAsuntos!G17),(NºAsuntos!I17/NºAsuntos!G17)*11," - ")</f>
        <v>4.389162561576355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5019</v>
      </c>
      <c r="D18" s="1206">
        <f>SUBTOTAL(9,D15:D17)</f>
        <v>5022</v>
      </c>
      <c r="E18" s="1207">
        <f>SUBTOTAL(9,E15:E17)</f>
        <v>3919</v>
      </c>
      <c r="F18" s="1207">
        <f>SUBTOTAL(9,F15:F17)</f>
        <v>3821</v>
      </c>
      <c r="G18" s="1209" t="str">
        <f ca="1">INDIRECT(CONCATENATE("G",ROW()-1))</f>
        <v>37</v>
      </c>
      <c r="H18" s="1210">
        <f ca="1">SUMIF(G$14:G17,G18,H$14:H17)</f>
        <v>162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5096</v>
      </c>
      <c r="D19" s="1228">
        <f>SUBTOTAL(9,D9:D18)</f>
        <v>5099</v>
      </c>
      <c r="E19" s="1229">
        <f>SUBTOTAL(9,E9:E18)</f>
        <v>3982</v>
      </c>
      <c r="F19" s="1229">
        <f>SUBTOTAL(9,F9:F18)</f>
        <v>3854</v>
      </c>
      <c r="G19" s="1230"/>
      <c r="H19" s="1231">
        <f ca="1">SUMIF(B9:B18,"TOTAL",H9:H18)</f>
        <v>162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UHpbA82bP3RRxZQT+7UDbCa5Tj8jHzF+LeUN5/jvFPVLZgZmasj9VGiAZvY+QLEw+N7+7u64cjHssVX5QqOaMA==" saltValue="I5ofX8j5ApM5CW7ts09d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7pEBJ4qCLfed5GBhm+2qx9520keZCFsZcA5Z7SVoiOaHsQxBogQOU2ZDMZcKUw7A1jfy2r965ZedOP1kanbPw==" saltValue="I8FtPprpoHGfgqqOlpd2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13479</v>
      </c>
      <c r="J9" s="185">
        <v>2244</v>
      </c>
      <c r="K9" s="185">
        <v>2422</v>
      </c>
      <c r="L9" s="185">
        <v>13301</v>
      </c>
      <c r="M9" s="185">
        <v>499</v>
      </c>
      <c r="N9" s="185">
        <v>1220</v>
      </c>
      <c r="O9" s="185">
        <v>946</v>
      </c>
      <c r="P9" s="185">
        <v>488</v>
      </c>
      <c r="Q9" s="185">
        <v>173</v>
      </c>
      <c r="R9" s="185">
        <v>12005</v>
      </c>
      <c r="S9" s="185">
        <v>12611</v>
      </c>
      <c r="T9" s="185">
        <v>2211</v>
      </c>
      <c r="U9" s="185">
        <v>1833</v>
      </c>
      <c r="V9" s="185">
        <v>13057</v>
      </c>
      <c r="W9" s="185">
        <v>503</v>
      </c>
      <c r="X9" s="192">
        <v>835</v>
      </c>
      <c r="Y9" s="195">
        <v>310</v>
      </c>
      <c r="Z9" s="185">
        <v>53</v>
      </c>
      <c r="AA9" s="185">
        <v>100</v>
      </c>
      <c r="AB9" s="185">
        <v>263</v>
      </c>
      <c r="AC9" s="185">
        <v>0</v>
      </c>
      <c r="AD9" s="185">
        <v>0</v>
      </c>
      <c r="AE9" s="185">
        <v>0</v>
      </c>
      <c r="AF9" s="192">
        <v>0</v>
      </c>
      <c r="AG9" s="195">
        <v>322</v>
      </c>
      <c r="AH9" s="185">
        <v>106</v>
      </c>
      <c r="AI9" s="185">
        <v>78</v>
      </c>
      <c r="AJ9" s="196">
        <v>350</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12933</v>
      </c>
      <c r="AZ9" s="124">
        <f>IF(ISNUMBER(IF(J_V="SI",T9,T9+AH9)),IF(J_V="SI",T9,T9+AH9)," - ")</f>
        <v>2317</v>
      </c>
      <c r="BA9" s="125">
        <f>IF(ISNUMBER(IF(J_V="SI",U9,U9+AI9)),IF(J_V="SI",U9,U9+AI9)," - ")</f>
        <v>1911</v>
      </c>
      <c r="BB9" s="125">
        <f>IF(ISNUMBER(IF(J_V="SI",V9,V9+AJ9)),IF(J_V="SI",V9,V9+AJ9)," - ")</f>
        <v>13407</v>
      </c>
      <c r="BC9" s="126">
        <f>IF(ISNUMBER(X9),X9," - ")</f>
        <v>835</v>
      </c>
      <c r="BD9" s="127">
        <f>IF(ISNUMBER(BA9/AZ9),BA9/AZ9," - ")</f>
        <v>0.82477341389728098</v>
      </c>
      <c r="BE9" s="128">
        <f>IF(ISNUMBER(BB9/BA9),BB9/BA9, " - ")</f>
        <v>7.0156985871271589</v>
      </c>
      <c r="BF9" s="128">
        <f>IF(ISNUMBER(BC9/BA9),BC9/BA9, " - ")</f>
        <v>0.4369440083725798</v>
      </c>
      <c r="BG9" s="200">
        <f>IF(ISNUMBER((AY9+AZ9)/BA9),(AY9+AZ9)/BA9," - ")</f>
        <v>7.9801151229722658</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77</v>
      </c>
      <c r="J10" s="185">
        <v>63</v>
      </c>
      <c r="K10" s="185">
        <v>33</v>
      </c>
      <c r="L10" s="185">
        <v>107</v>
      </c>
      <c r="M10" s="185">
        <v>17</v>
      </c>
      <c r="N10" s="185">
        <v>12</v>
      </c>
      <c r="O10" s="185">
        <v>8</v>
      </c>
      <c r="P10" s="185">
        <v>13</v>
      </c>
      <c r="Q10" s="185">
        <v>9</v>
      </c>
      <c r="R10" s="185">
        <v>58</v>
      </c>
      <c r="S10" s="185">
        <v>32</v>
      </c>
      <c r="T10" s="185">
        <v>36</v>
      </c>
      <c r="U10" s="185">
        <v>26</v>
      </c>
      <c r="V10" s="185">
        <v>42</v>
      </c>
      <c r="W10" s="185">
        <v>10</v>
      </c>
      <c r="X10" s="192">
        <v>13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32</v>
      </c>
      <c r="AZ10" s="130">
        <f t="shared" si="0"/>
        <v>36</v>
      </c>
      <c r="BA10" s="130">
        <f t="shared" si="0"/>
        <v>26</v>
      </c>
      <c r="BB10" s="130">
        <f t="shared" si="0"/>
        <v>42</v>
      </c>
      <c r="BC10" s="126">
        <f t="shared" si="0"/>
        <v>10</v>
      </c>
      <c r="BD10" s="127">
        <f>IF(ISNUMBER(BA10/AZ10),BA10/AZ10," - ")</f>
        <v>0.72222222222222221</v>
      </c>
      <c r="BE10" s="128">
        <f>IF(ISNUMBER(BB10/BA10),BB10/BA10, " - ")</f>
        <v>1.6153846153846154</v>
      </c>
      <c r="BF10" s="128">
        <f>IF(ISNUMBER(BC10/BA10),BC10/BA10, " - ")</f>
        <v>0.38461538461538464</v>
      </c>
      <c r="BG10" s="200">
        <f>IF(ISNUMBER((AY10+AZ10)/BA10),(AY10+AZ10)/BA10," - ")</f>
        <v>2.6153846153846154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13556</v>
      </c>
      <c r="J13" s="188">
        <f t="shared" si="6"/>
        <v>2307</v>
      </c>
      <c r="K13" s="188">
        <f t="shared" si="6"/>
        <v>2455</v>
      </c>
      <c r="L13" s="188">
        <f t="shared" si="6"/>
        <v>13408</v>
      </c>
      <c r="M13" s="188">
        <f t="shared" si="6"/>
        <v>516</v>
      </c>
      <c r="N13" s="188">
        <f t="shared" si="6"/>
        <v>1232</v>
      </c>
      <c r="O13" s="188">
        <f t="shared" si="6"/>
        <v>954</v>
      </c>
      <c r="P13" s="188">
        <f t="shared" si="6"/>
        <v>501</v>
      </c>
      <c r="Q13" s="188">
        <f t="shared" si="6"/>
        <v>182</v>
      </c>
      <c r="R13" s="188">
        <f t="shared" si="6"/>
        <v>12063</v>
      </c>
      <c r="S13" s="188">
        <f t="shared" si="6"/>
        <v>12643</v>
      </c>
      <c r="T13" s="188">
        <f t="shared" si="6"/>
        <v>2247</v>
      </c>
      <c r="U13" s="188">
        <f t="shared" si="6"/>
        <v>1859</v>
      </c>
      <c r="V13" s="188">
        <f t="shared" si="6"/>
        <v>13099</v>
      </c>
      <c r="W13" s="188">
        <f t="shared" si="6"/>
        <v>513</v>
      </c>
      <c r="X13" s="188">
        <f t="shared" si="6"/>
        <v>848</v>
      </c>
      <c r="Y13" s="188">
        <f t="shared" si="6"/>
        <v>310</v>
      </c>
      <c r="Z13" s="188">
        <f t="shared" si="6"/>
        <v>53</v>
      </c>
      <c r="AA13" s="188">
        <f t="shared" si="6"/>
        <v>100</v>
      </c>
      <c r="AB13" s="188">
        <f t="shared" si="6"/>
        <v>263</v>
      </c>
      <c r="AC13" s="188">
        <f t="shared" si="6"/>
        <v>0</v>
      </c>
      <c r="AD13" s="188">
        <f t="shared" si="6"/>
        <v>0</v>
      </c>
      <c r="AE13" s="188">
        <f t="shared" si="6"/>
        <v>0</v>
      </c>
      <c r="AF13" s="188">
        <f>SUBTOTAL(9,AF9:AF12)</f>
        <v>0</v>
      </c>
      <c r="AG13" s="188">
        <f t="shared" ref="AG13:AT13" si="7">SUBTOTAL(9,AG8:AG12)</f>
        <v>322</v>
      </c>
      <c r="AH13" s="188">
        <f t="shared" si="7"/>
        <v>106</v>
      </c>
      <c r="AI13" s="188">
        <f t="shared" si="7"/>
        <v>78</v>
      </c>
      <c r="AJ13" s="188">
        <f t="shared" si="7"/>
        <v>350</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12965</v>
      </c>
      <c r="AZ13" s="188">
        <f>SUBTOTAL(9,AZ8:AZ12)</f>
        <v>2353</v>
      </c>
      <c r="BA13" s="188">
        <f>SUBTOTAL(9,BA8:BA12)</f>
        <v>1937</v>
      </c>
      <c r="BB13" s="188">
        <f>SUBTOTAL(9,BB8:BB12)</f>
        <v>13449</v>
      </c>
      <c r="BC13" s="188">
        <f>SUBTOTAL(9,BC8:BC12)</f>
        <v>845</v>
      </c>
      <c r="BD13" s="209">
        <f>IF(ISNUMBER(BA13/AZ13),BA13/AZ13," - ")</f>
        <v>0.82320441988950277</v>
      </c>
      <c r="BE13" s="210">
        <f>IF(ISNUMBER(BB13/BA13),BB13/BA13, " - ")</f>
        <v>6.9432111512648422</v>
      </c>
      <c r="BF13" s="210">
        <f>IF(ISNUMBER(BC13/BA13),BC13/BA13, " - ")</f>
        <v>0.43624161073825501</v>
      </c>
      <c r="BG13" s="211">
        <f>IF(ISNUMBER((AY13+AZ13)/BA13),(AY13+AZ13)/BA13," - ")</f>
        <v>7.908105317501291</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4903</v>
      </c>
      <c r="J15" s="187">
        <v>3463</v>
      </c>
      <c r="K15" s="187">
        <v>3414</v>
      </c>
      <c r="L15" s="187">
        <v>4949</v>
      </c>
      <c r="M15" s="187">
        <v>449</v>
      </c>
      <c r="N15" s="187">
        <v>2543</v>
      </c>
      <c r="O15" s="185">
        <v>49</v>
      </c>
      <c r="P15" s="187">
        <v>81</v>
      </c>
      <c r="Q15" s="187">
        <v>51</v>
      </c>
      <c r="R15" s="187">
        <v>388</v>
      </c>
      <c r="S15" s="187">
        <v>3664</v>
      </c>
      <c r="T15" s="187">
        <v>2956</v>
      </c>
      <c r="U15" s="187">
        <v>2601</v>
      </c>
      <c r="V15" s="187">
        <v>4155</v>
      </c>
      <c r="W15" s="187">
        <v>342</v>
      </c>
      <c r="X15" s="193">
        <v>1902</v>
      </c>
      <c r="Y15" s="206">
        <v>0</v>
      </c>
      <c r="Z15" s="187">
        <v>0</v>
      </c>
      <c r="AA15" s="187">
        <v>0</v>
      </c>
      <c r="AB15" s="187">
        <v>0</v>
      </c>
      <c r="AC15" s="187">
        <v>2</v>
      </c>
      <c r="AD15" s="187">
        <v>149</v>
      </c>
      <c r="AE15" s="187">
        <v>149</v>
      </c>
      <c r="AF15" s="193">
        <v>2</v>
      </c>
      <c r="AG15" s="206">
        <v>0</v>
      </c>
      <c r="AH15" s="187">
        <v>0</v>
      </c>
      <c r="AI15" s="187">
        <v>0</v>
      </c>
      <c r="AJ15" s="207">
        <v>0</v>
      </c>
      <c r="AK15" s="186">
        <v>32</v>
      </c>
      <c r="AL15" s="187">
        <v>132</v>
      </c>
      <c r="AM15" s="187">
        <v>133</v>
      </c>
      <c r="AN15" s="193">
        <v>31</v>
      </c>
      <c r="AO15" s="263">
        <v>4</v>
      </c>
      <c r="AP15" s="159">
        <v>4</v>
      </c>
      <c r="AQ15" s="159">
        <v>4</v>
      </c>
      <c r="AR15" s="159">
        <v>4</v>
      </c>
      <c r="AS15" s="349" t="s">
        <v>523</v>
      </c>
      <c r="AT15" s="207" t="s">
        <v>329</v>
      </c>
      <c r="AU15" s="206"/>
      <c r="AV15" s="207"/>
      <c r="AW15" s="206"/>
      <c r="AX15" s="207"/>
      <c r="AY15" s="129">
        <f t="shared" ref="AY15:BB16" si="9">IF(ISNUMBER(IF(D_I="SI",S15,S15+AK15)),IF(D_I="SI",S15,S15+AK15)," - ")</f>
        <v>3664</v>
      </c>
      <c r="AZ15" s="130">
        <f t="shared" si="9"/>
        <v>2956</v>
      </c>
      <c r="BA15" s="130">
        <f t="shared" si="9"/>
        <v>2601</v>
      </c>
      <c r="BB15" s="130">
        <f t="shared" si="9"/>
        <v>4155</v>
      </c>
      <c r="BC15" s="126">
        <f>IF(ISNUMBER(W15),W15," - ")</f>
        <v>342</v>
      </c>
      <c r="BD15" s="127">
        <f>IF(ISNUMBER(BA15/AZ15),BA15/AZ15," - ")</f>
        <v>0.8799052774018945</v>
      </c>
      <c r="BE15" s="128">
        <f>IF(ISNUMBER(BB15/BA15),BB15/BA15, " - ")</f>
        <v>1.5974625144175316</v>
      </c>
      <c r="BF15" s="128">
        <f>IF(ISNUMBER(BC15/BA15),BC15/BA15, " - ")</f>
        <v>0.13148788927335639</v>
      </c>
      <c r="BG15" s="200">
        <f t="shared" ref="BG15:BG16" si="10">IF(ISNUMBER((AY15+AZ15)/BA15),(AY15+AZ15)/BA15," - ")</f>
        <v>2.5451749327181852</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v>
      </c>
      <c r="J16" s="187">
        <v>0</v>
      </c>
      <c r="K16" s="187">
        <v>1</v>
      </c>
      <c r="L16" s="187">
        <v>6</v>
      </c>
      <c r="M16" s="187">
        <v>0</v>
      </c>
      <c r="N16" s="187">
        <v>1</v>
      </c>
      <c r="O16" s="185">
        <v>0</v>
      </c>
      <c r="P16" s="187">
        <v>0</v>
      </c>
      <c r="Q16" s="187">
        <v>0</v>
      </c>
      <c r="R16" s="187">
        <v>0</v>
      </c>
      <c r="S16" s="187">
        <v>8</v>
      </c>
      <c r="T16" s="187">
        <v>0</v>
      </c>
      <c r="U16" s="187">
        <v>0</v>
      </c>
      <c r="V16" s="187">
        <v>8</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8</v>
      </c>
      <c r="AZ16" s="128">
        <f t="shared" si="9"/>
        <v>0</v>
      </c>
      <c r="BA16" s="128">
        <f t="shared" si="9"/>
        <v>0</v>
      </c>
      <c r="BB16" s="128">
        <f t="shared" si="9"/>
        <v>8</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112</v>
      </c>
      <c r="J17" s="187">
        <v>456</v>
      </c>
      <c r="K17" s="187">
        <v>406</v>
      </c>
      <c r="L17" s="187">
        <v>162</v>
      </c>
      <c r="M17" s="187">
        <v>159</v>
      </c>
      <c r="N17" s="187">
        <v>207</v>
      </c>
      <c r="O17" s="187">
        <v>8</v>
      </c>
      <c r="P17" s="187">
        <v>14</v>
      </c>
      <c r="Q17" s="187">
        <v>8</v>
      </c>
      <c r="R17" s="187">
        <v>12</v>
      </c>
      <c r="S17" s="187">
        <v>188</v>
      </c>
      <c r="T17" s="187">
        <v>317</v>
      </c>
      <c r="U17" s="187">
        <v>293</v>
      </c>
      <c r="V17" s="187">
        <v>212</v>
      </c>
      <c r="W17" s="187">
        <v>98</v>
      </c>
      <c r="X17" s="193">
        <v>158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188</v>
      </c>
      <c r="AZ17" s="130">
        <f t="shared" si="14"/>
        <v>317</v>
      </c>
      <c r="BA17" s="130">
        <f t="shared" si="14"/>
        <v>293</v>
      </c>
      <c r="BB17" s="130">
        <f t="shared" si="14"/>
        <v>212</v>
      </c>
      <c r="BC17" s="126">
        <f>IF(ISNUMBER(W17),W17," - ")</f>
        <v>98</v>
      </c>
      <c r="BD17" s="127">
        <f>IF(ISNUMBER(BA17/AZ17),BA17/AZ17," - ")</f>
        <v>0.9242902208201893</v>
      </c>
      <c r="BE17" s="128">
        <f>IF(ISNUMBER(BB17/BA17),BB17/BA17, " - ")</f>
        <v>0.7235494880546075</v>
      </c>
      <c r="BF17" s="128">
        <f>IF(ISNUMBER(BC17/BA17),BC17/BA17, " - ")</f>
        <v>0.33447098976109213</v>
      </c>
      <c r="BG17" s="200">
        <f>IF(ISNUMBER((AY17+AZ17)/BA17),(AY17+AZ17)/BA17," - ")</f>
        <v>1.7235494880546076</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5022</v>
      </c>
      <c r="J18" s="188">
        <f t="shared" si="15"/>
        <v>3919</v>
      </c>
      <c r="K18" s="188">
        <f t="shared" si="15"/>
        <v>3821</v>
      </c>
      <c r="L18" s="188">
        <f t="shared" si="15"/>
        <v>5117</v>
      </c>
      <c r="M18" s="188">
        <f t="shared" si="15"/>
        <v>608</v>
      </c>
      <c r="N18" s="188">
        <f t="shared" si="15"/>
        <v>2751</v>
      </c>
      <c r="O18" s="188">
        <f t="shared" si="15"/>
        <v>57</v>
      </c>
      <c r="P18" s="188">
        <f t="shared" si="15"/>
        <v>95</v>
      </c>
      <c r="Q18" s="188">
        <f t="shared" si="15"/>
        <v>59</v>
      </c>
      <c r="R18" s="188">
        <f t="shared" si="15"/>
        <v>400</v>
      </c>
      <c r="S18" s="188">
        <f t="shared" si="15"/>
        <v>3860</v>
      </c>
      <c r="T18" s="188">
        <f t="shared" si="15"/>
        <v>3273</v>
      </c>
      <c r="U18" s="188">
        <f t="shared" si="15"/>
        <v>2894</v>
      </c>
      <c r="V18" s="188">
        <f t="shared" si="15"/>
        <v>4375</v>
      </c>
      <c r="W18" s="188">
        <f t="shared" si="15"/>
        <v>440</v>
      </c>
      <c r="X18" s="188">
        <f t="shared" si="15"/>
        <v>2060</v>
      </c>
      <c r="Y18" s="188">
        <f t="shared" si="15"/>
        <v>0</v>
      </c>
      <c r="Z18" s="188">
        <f t="shared" si="15"/>
        <v>0</v>
      </c>
      <c r="AA18" s="188">
        <f t="shared" si="15"/>
        <v>0</v>
      </c>
      <c r="AB18" s="188">
        <f t="shared" si="15"/>
        <v>0</v>
      </c>
      <c r="AC18" s="188">
        <f t="shared" si="15"/>
        <v>2</v>
      </c>
      <c r="AD18" s="188">
        <f t="shared" si="15"/>
        <v>149</v>
      </c>
      <c r="AE18" s="188">
        <f t="shared" si="15"/>
        <v>149</v>
      </c>
      <c r="AF18" s="188">
        <f t="shared" si="15"/>
        <v>2</v>
      </c>
      <c r="AG18" s="188">
        <f t="shared" si="15"/>
        <v>0</v>
      </c>
      <c r="AH18" s="188">
        <f t="shared" si="15"/>
        <v>0</v>
      </c>
      <c r="AI18" s="188">
        <f t="shared" si="15"/>
        <v>0</v>
      </c>
      <c r="AJ18" s="188">
        <f t="shared" si="15"/>
        <v>0</v>
      </c>
      <c r="AK18" s="188">
        <f t="shared" si="15"/>
        <v>32</v>
      </c>
      <c r="AL18" s="188">
        <f t="shared" si="15"/>
        <v>132</v>
      </c>
      <c r="AM18" s="188">
        <f t="shared" si="15"/>
        <v>133</v>
      </c>
      <c r="AN18" s="188">
        <f t="shared" si="15"/>
        <v>31</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3860</v>
      </c>
      <c r="AZ18" s="188">
        <f>SUBTOTAL(9,AZ14:AZ17)</f>
        <v>3273</v>
      </c>
      <c r="BA18" s="188">
        <f>SUBTOTAL(9,BA14:BA17)</f>
        <v>2894</v>
      </c>
      <c r="BB18" s="188">
        <f>SUBTOTAL(9,BB14:BB17)</f>
        <v>4375</v>
      </c>
      <c r="BC18" s="188">
        <f>SUBTOTAL(9,BC14:BC17)</f>
        <v>440</v>
      </c>
      <c r="BD18" s="209">
        <f>IF(ISNUMBER(BA18/AZ18),BA18/AZ18," - ")</f>
        <v>0.88420409410326917</v>
      </c>
      <c r="BE18" s="210">
        <f>IF(ISNUMBER(BB18/BA18),BB18/BA18, " - ")</f>
        <v>1.5117484450587422</v>
      </c>
      <c r="BF18" s="210">
        <f>IF(ISNUMBER(BC18/BA18),BC18/BA18, " - ")</f>
        <v>0.15203870076019349</v>
      </c>
      <c r="BG18" s="211">
        <f>IF(ISNUMBER((AY18+AZ18)/BA18),(AY18+AZ18)/BA18," - ")</f>
        <v>2.4647546648237735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18578</v>
      </c>
      <c r="J19" s="135">
        <f t="shared" si="18"/>
        <v>6226</v>
      </c>
      <c r="K19" s="135">
        <f t="shared" si="18"/>
        <v>6276</v>
      </c>
      <c r="L19" s="135">
        <f t="shared" si="18"/>
        <v>18525</v>
      </c>
      <c r="M19" s="135">
        <f t="shared" si="18"/>
        <v>1124</v>
      </c>
      <c r="N19" s="135">
        <f t="shared" si="18"/>
        <v>3983</v>
      </c>
      <c r="O19" s="135">
        <f t="shared" si="18"/>
        <v>1011</v>
      </c>
      <c r="P19" s="135">
        <f t="shared" si="18"/>
        <v>596</v>
      </c>
      <c r="Q19" s="135">
        <f t="shared" si="18"/>
        <v>241</v>
      </c>
      <c r="R19" s="135">
        <f t="shared" si="18"/>
        <v>12463</v>
      </c>
      <c r="S19" s="135">
        <f t="shared" si="18"/>
        <v>16503</v>
      </c>
      <c r="T19" s="135">
        <f t="shared" si="18"/>
        <v>5520</v>
      </c>
      <c r="U19" s="135">
        <f t="shared" si="18"/>
        <v>4753</v>
      </c>
      <c r="V19" s="135">
        <f t="shared" si="18"/>
        <v>17474</v>
      </c>
      <c r="W19" s="135">
        <f t="shared" si="18"/>
        <v>953</v>
      </c>
      <c r="X19" s="135">
        <f t="shared" si="18"/>
        <v>2908</v>
      </c>
      <c r="Y19" s="135">
        <f t="shared" si="18"/>
        <v>310</v>
      </c>
      <c r="Z19" s="135">
        <f t="shared" si="18"/>
        <v>53</v>
      </c>
      <c r="AA19" s="135">
        <f t="shared" si="18"/>
        <v>100</v>
      </c>
      <c r="AB19" s="135">
        <f t="shared" si="18"/>
        <v>263</v>
      </c>
      <c r="AC19" s="135">
        <f t="shared" si="18"/>
        <v>2</v>
      </c>
      <c r="AD19" s="135">
        <f t="shared" si="18"/>
        <v>149</v>
      </c>
      <c r="AE19" s="135">
        <f t="shared" si="18"/>
        <v>149</v>
      </c>
      <c r="AF19" s="135">
        <f t="shared" si="18"/>
        <v>2</v>
      </c>
      <c r="AG19" s="135">
        <f t="shared" si="18"/>
        <v>322</v>
      </c>
      <c r="AH19" s="135">
        <f t="shared" si="18"/>
        <v>106</v>
      </c>
      <c r="AI19" s="135">
        <f t="shared" si="18"/>
        <v>78</v>
      </c>
      <c r="AJ19" s="135">
        <f t="shared" si="18"/>
        <v>350</v>
      </c>
      <c r="AK19" s="135">
        <f t="shared" si="18"/>
        <v>32</v>
      </c>
      <c r="AL19" s="135">
        <f t="shared" si="18"/>
        <v>132</v>
      </c>
      <c r="AM19" s="135">
        <f t="shared" si="18"/>
        <v>133</v>
      </c>
      <c r="AN19" s="214">
        <f t="shared" si="18"/>
        <v>31</v>
      </c>
      <c r="AO19" s="215">
        <v>11</v>
      </c>
      <c r="AP19" s="215">
        <v>11</v>
      </c>
      <c r="AQ19" s="215">
        <v>11</v>
      </c>
      <c r="AR19" s="215">
        <v>11</v>
      </c>
      <c r="AS19" s="157">
        <f t="shared" si="18"/>
        <v>0</v>
      </c>
      <c r="AT19" s="157">
        <f t="shared" si="18"/>
        <v>0</v>
      </c>
      <c r="AU19" s="215"/>
      <c r="AV19" s="216"/>
      <c r="AW19" s="215"/>
      <c r="AX19" s="216"/>
      <c r="AY19" s="134">
        <f>SUBTOTAL(9,AY9:AY18)</f>
        <v>16825</v>
      </c>
      <c r="AZ19" s="135">
        <f>SUBTOTAL(9,AZ9:AZ18)</f>
        <v>5626</v>
      </c>
      <c r="BA19" s="135">
        <f>SUBTOTAL(9,BA9:BA18)</f>
        <v>4831</v>
      </c>
      <c r="BB19" s="135">
        <f>SUBTOTAL(9,BB9:BB18)</f>
        <v>17824</v>
      </c>
      <c r="BC19" s="136">
        <f>SUBTOTAL(9,BC9:BC18)</f>
        <v>1285</v>
      </c>
      <c r="BD19" s="217">
        <f>IF(ISNUMBER(BA19/AZ19),BA19/AZ19," - ")</f>
        <v>0.85869178812655533</v>
      </c>
      <c r="BE19" s="214">
        <f>IF(ISNUMBER(BB19/BA19),BB19/BA19, " - ")</f>
        <v>3.6895052784102669</v>
      </c>
      <c r="BF19" s="214">
        <f>IF(ISNUMBER(BC19/BA19),BC19/BA19, " - ")</f>
        <v>0.26599047816187127</v>
      </c>
      <c r="BG19" s="136">
        <f>IF(ISNUMBER((AY19+AZ19)/BA19),(AY19+AZ19)/BA19," - ")</f>
        <v>4.6472779962740631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P1aAl2iRsQEaIaoJsOmPOqkoYFcbjuD8vZ4aUttQgiatY0nBMGninxm9ozWRy2AGxckDXsCDe5C7wnyMmweCA==" saltValue="ZM8Gs+60/YEWfNe2GkAf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fiYSiWw3Afb/B6+4Fj7gUQYJHk+PsBRG9L+JSZnuWzV607bIl6j3RxHYJ+7FAzU3pb+BN13ByYG7vOkCfxdZw==" saltValue="ch+jO3dWZn7i4ndk2RlL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ARONA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53</v>
      </c>
      <c r="O9" s="503"/>
      <c r="P9" s="503"/>
      <c r="Q9" s="501">
        <f>IF(ISNUMBER(Datos!P9),Datos!P9,0)</f>
        <v>488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173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263</v>
      </c>
      <c r="AI9" s="503" t="str">
        <f>IF(ISNUMBER(Datos!CD9),Datos!CD9,"-")</f>
        <v>-</v>
      </c>
      <c r="AJ9" s="503" t="str">
        <f>IF(ISNUMBER(Datos!EN9),Datos!EN9," - ")</f>
        <v xml:space="preserve"> - </v>
      </c>
      <c r="AK9" s="503"/>
      <c r="AL9" s="504"/>
      <c r="AM9" s="671">
        <f>IF(ISNUMBER(Datos!R9),Datos!R9," - ")</f>
        <v>12005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499</v>
      </c>
      <c r="BD9" s="619">
        <f>IF(ISNUMBER(Datos!N9),Datos!N9," - ")</f>
        <v>1220</v>
      </c>
      <c r="BE9" s="619" t="str">
        <f>IF(ISNUMBER(Datos!BW9),Datos!BW9," - ")</f>
        <v xml:space="preserve"> - </v>
      </c>
      <c r="BF9" s="667" t="str">
        <f>IF(ISNUMBER(Datos!BX9),Datos!BX9," - ")</f>
        <v xml:space="preserve"> - </v>
      </c>
      <c r="BG9" s="668">
        <f>IF(ISNUMBER(IF(J_V="SI",Datos!K9/Datos!J9,(Datos!K9+Datos!AA9)/(Datos!J9+Datos!Z9))),IF(J_V="SI",Datos!K9/Datos!J9,(Datos!K9+Datos!AA9)/(Datos!J9+Datos!Z9))," - ")</f>
        <v>1.0979538528515456</v>
      </c>
      <c r="BH9" s="669">
        <f>IF(ISNUMBER(((IF(J_V="SI",Datos!L9/Datos!K9,(Datos!L9+Datos!AB9)/(Datos!K9+Datos!AA9)))*11)/factor_trimestre),((IF(J_V="SI",Datos!L9/Datos!K9,(Datos!L9+Datos!AB9)/(Datos!K9+Datos!AA9)))*11)/factor_trimestre," - ")</f>
        <v>10.75654242664552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2.6946107784431138E-2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77</v>
      </c>
      <c r="G10" s="497">
        <f>IF(ISNUMBER(Datos!I10),Datos!I10," - ")</f>
        <v>77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33</v>
      </c>
      <c r="AC10" s="501">
        <f>IF(ISNUMBER(Datos!Q10),Datos!Q10," - ")</f>
        <v>9</v>
      </c>
      <c r="AD10" s="503"/>
      <c r="AE10" s="516"/>
      <c r="AF10" s="505">
        <f>IF(ISNUMBER(Datos!L10),Datos!L10,"-")</f>
        <v>107</v>
      </c>
      <c r="AG10" s="503"/>
      <c r="AH10" s="503"/>
      <c r="AI10" s="503"/>
      <c r="AJ10" s="503"/>
      <c r="AK10" s="503"/>
      <c r="AL10" s="504"/>
      <c r="AM10" s="671">
        <f>IF(ISNUMBER(Datos!R10),Datos!R10," - ")</f>
        <v>58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12</v>
      </c>
      <c r="BE10" s="619" t="str">
        <f>IF(ISNUMBER(Datos!BW10),Datos!BW10," - ")</f>
        <v xml:space="preserve"> - </v>
      </c>
      <c r="BF10" s="667" t="str">
        <f>IF(ISNUMBER(Datos!BX10),Datos!BX10," - ")</f>
        <v xml:space="preserve"> - </v>
      </c>
      <c r="BG10" s="668">
        <f>IF(ISNUMBER(Datos!K10/Datos!J10),Datos!K10/Datos!J10," - ")</f>
        <v>0.52380952380952384</v>
      </c>
      <c r="BH10" s="669">
        <f>IF(ISNUMBER(((Datos!L10/Datos!K10)*11)/factor_trimestre),((Datos!L10/Datos!K10)*11)/factor_trimestre," - ")</f>
        <v>6.4848484848484844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7.407407407407407E-2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77</v>
      </c>
      <c r="G13" s="1044">
        <f t="shared" si="0"/>
        <v>77</v>
      </c>
      <c r="H13" s="1045">
        <f t="shared" si="0"/>
        <v>0</v>
      </c>
      <c r="I13" s="1044">
        <f t="shared" si="0"/>
        <v>0</v>
      </c>
      <c r="J13" s="1013">
        <f t="shared" si="0"/>
        <v>0</v>
      </c>
      <c r="K13" s="1013">
        <f t="shared" si="0"/>
        <v>0</v>
      </c>
      <c r="L13" s="1045">
        <f t="shared" si="0"/>
        <v>0</v>
      </c>
      <c r="M13" s="1045">
        <f t="shared" si="0"/>
        <v>0</v>
      </c>
      <c r="N13" s="1045">
        <f t="shared" si="0"/>
        <v>53</v>
      </c>
      <c r="O13" s="1046">
        <f t="shared" si="0"/>
        <v>0</v>
      </c>
      <c r="P13" s="1046">
        <f t="shared" si="0"/>
        <v>0</v>
      </c>
      <c r="Q13" s="1045">
        <f t="shared" si="0"/>
        <v>501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33</v>
      </c>
      <c r="AC13" s="1045">
        <f t="shared" si="1"/>
        <v>182</v>
      </c>
      <c r="AD13" s="1045">
        <f t="shared" si="1"/>
        <v>0</v>
      </c>
      <c r="AE13" s="1045">
        <f t="shared" si="1"/>
        <v>0</v>
      </c>
      <c r="AF13" s="1045">
        <f t="shared" si="1"/>
        <v>107</v>
      </c>
      <c r="AG13" s="1045">
        <f t="shared" si="1"/>
        <v>0</v>
      </c>
      <c r="AH13" s="1045">
        <f t="shared" si="1"/>
        <v>263</v>
      </c>
      <c r="AI13" s="1045">
        <f t="shared" si="1"/>
        <v>0</v>
      </c>
      <c r="AJ13" s="1045">
        <f t="shared" si="1"/>
        <v>0</v>
      </c>
      <c r="AK13" s="1045">
        <f t="shared" si="1"/>
        <v>0</v>
      </c>
      <c r="AL13" s="1045">
        <f t="shared" si="1"/>
        <v>0</v>
      </c>
      <c r="AM13" s="1045">
        <f t="shared" si="1"/>
        <v>12063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516</v>
      </c>
      <c r="BD13" s="1045">
        <f t="shared" si="1"/>
        <v>1232</v>
      </c>
      <c r="BE13" s="1045">
        <f t="shared" si="1"/>
        <v>0</v>
      </c>
      <c r="BF13" s="1045">
        <f t="shared" si="1"/>
        <v>0</v>
      </c>
      <c r="BG13" s="1045">
        <f>IF(ISNUMBER(Datos!K13/Datos!J13),Datos!K13/Datos!J13," - ")</f>
        <v>1.0641525791070654</v>
      </c>
      <c r="BH13" s="1049">
        <f>IF(ISNUMBER(((Datos!L13/Datos!K13)*11)/factor_trimestre),((Datos!L13/Datos!K13)*11)/factor_trimestre," - ")</f>
        <v>10.923014256619144</v>
      </c>
      <c r="BI13" s="1045">
        <f>IF(ISNUMBER('Resol  Asuntos'!D13/NºAsuntos!G13),'Resol  Asuntos'!D13/NºAsuntos!G13," - ")</f>
        <v>0.20195694716242663</v>
      </c>
      <c r="BJ13" s="1045" t="str">
        <f>IF(ISNUMBER(Datos!CI13/Datos!CJ13),Datos!CI13/Datos!CJ13," - ")</f>
        <v xml:space="preserve"> - </v>
      </c>
      <c r="BK13" s="1045">
        <f>SUBTOTAL(9,BK8:BK12)</f>
        <v>0</v>
      </c>
      <c r="BL13" s="1045">
        <f>IF(ISNUMBER((I13-AB13+L13)/(F13)),(I13-AB13+L13)/(F13)," - ")</f>
        <v>-0.42857142857142855</v>
      </c>
      <c r="BM13" s="1050">
        <f>SUBTOTAL(9,BM9:BM12)</f>
        <v>0.10102018185850521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4900</v>
      </c>
      <c r="G15" s="650">
        <f>IF(ISNUMBER(IF(D_I="SI",Datos!I15,Datos!I15+Datos!AC15)),IF(D_I="SI",Datos!I15,Datos!I15+Datos!AC15)," - ")</f>
        <v>4903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3414</v>
      </c>
      <c r="AC15" s="230">
        <f>IF(ISNUMBER(Datos!Q15),Datos!Q15," - ")</f>
        <v>51</v>
      </c>
      <c r="AD15" s="343"/>
      <c r="AE15" s="515"/>
      <c r="AF15" s="648">
        <f>IF(ISNUMBER(IF(D_I="SI",Datos!L15,Datos!L15+Datos!AF15)),IF(D_I="SI",Datos!L15,Datos!L15+Datos!AF15)," - ")</f>
        <v>4949</v>
      </c>
      <c r="AG15" s="343"/>
      <c r="AH15" s="343"/>
      <c r="AI15" s="343"/>
      <c r="AJ15" s="503"/>
      <c r="AK15" s="343"/>
      <c r="AL15" s="499"/>
      <c r="AM15" s="344">
        <f>IF(ISNUMBER(Datos!R15),Datos!R15," - ")</f>
        <v>388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449</v>
      </c>
      <c r="BD15" s="233">
        <f>IF(ISNUMBER(Datos!N15),Datos!N15," - ")</f>
        <v>2543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0.98585041871209933</v>
      </c>
      <c r="BH15" s="669">
        <f>IF(ISNUMBER(((IF(D_I="SI",Datos!L15/Datos!K15,(Datos!L15+Datos!AF15)/(Datos!K15+Datos!AE15)))*11)/factor_trimestre),((IF(D_I="SI",Datos!L15/Datos!K15,(Datos!L15+Datos!AF15)/(Datos!K15+Datos!AE15)))*11)/factor_trimestre," - ")</f>
        <v>2.8992384299941416</v>
      </c>
      <c r="BI15" s="247">
        <f>IF(ISNUMBER('Resol  Asuntos'!D15/NºAsuntos!G15),'Resol  Asuntos'!D15/NºAsuntos!G15," - ")</f>
        <v>0.13151728178090216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7</v>
      </c>
      <c r="G16" s="650">
        <f>IF(ISNUMBER(IF(D_I="SI",Datos!I16,Datos!I16+Datos!AC16)),IF(D_I="SI",Datos!I16,Datos!I16+Datos!AC16)," - ")</f>
        <v>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v>
      </c>
      <c r="AC16" s="230">
        <f>IF(ISNUMBER(Datos!Q16),Datos!Q16," - ")</f>
        <v>0</v>
      </c>
      <c r="AD16" s="343"/>
      <c r="AE16" s="515"/>
      <c r="AF16" s="648">
        <f>IF(ISNUMBER(IF(D_I="SI",Datos!L16,Datos!L16+Datos!AF16)),IF(D_I="SI",Datos!L16,Datos!L16+Datos!AF16)," - ")</f>
        <v>6</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1</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f>IF(ISNUMBER(((IF(D_I="SI",Datos!L16/Datos!K16,(Datos!L16+Datos!AF16)/(Datos!K16+Datos!AE16)))*11)/factor_trimestre),((IF(D_I="SI",Datos!L16/Datos!K16,(Datos!L16+Datos!AF16)/(Datos!K16+Datos!AE16)))*11)/factor_trimestre," - ")</f>
        <v>12</v>
      </c>
      <c r="BI16" s="247">
        <f>IF(ISNUMBER('Resol  Asuntos'!D16/NºAsuntos!G16),'Resol  Asuntos'!D16/NºAsuntos!G16," - ")</f>
        <v>0</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406</v>
      </c>
      <c r="AC17" s="501">
        <f>IF(ISNUMBER(Datos!Q17),Datos!Q17," - ")</f>
        <v>8</v>
      </c>
      <c r="AD17" s="503"/>
      <c r="AE17" s="515"/>
      <c r="AF17" s="505">
        <f>IF(ISNUMBER(Datos!L17),Datos!L17,"-")</f>
        <v>162</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159</v>
      </c>
      <c r="BD17" s="619">
        <f>IF(ISNUMBER(Datos!N17),Datos!N17," - ")</f>
        <v>207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0.89035087719298245</v>
      </c>
      <c r="BH17" s="669">
        <f>IF(ISNUMBER(((IF(D_I="SI",Datos!L17/Datos!K17,(Datos!L17+Datos!AF17)/(Datos!K17+Datos!AE17)))*11)/factor_trimestre),((IF(D_I="SI",Datos!L17/Datos!K17,(Datos!L17+Datos!AF17)/(Datos!K17+Datos!AE17)))*11)/factor_trimestre," - ")</f>
        <v>0.79802955665024633</v>
      </c>
      <c r="BI17" s="668">
        <f>IF(ISNUMBER('Resol  Asuntos'!D17/NºAsuntos!G17),'Resol  Asuntos'!D17/NºAsuntos!G17," - ")</f>
        <v>0.39162561576354682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4907</v>
      </c>
      <c r="G18" s="1044">
        <f>SUBTOTAL(9,G15:G17)</f>
        <v>5022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3821</v>
      </c>
      <c r="AC18" s="1045">
        <f t="shared" si="4"/>
        <v>59</v>
      </c>
      <c r="AD18" s="1045">
        <f t="shared" si="4"/>
        <v>0</v>
      </c>
      <c r="AE18" s="1045">
        <f t="shared" si="4"/>
        <v>0</v>
      </c>
      <c r="AF18" s="1045">
        <f t="shared" si="4"/>
        <v>5117</v>
      </c>
      <c r="AG18" s="1045">
        <f t="shared" si="4"/>
        <v>0</v>
      </c>
      <c r="AH18" s="1045">
        <f t="shared" si="4"/>
        <v>0</v>
      </c>
      <c r="AI18" s="1045">
        <f t="shared" si="4"/>
        <v>0</v>
      </c>
      <c r="AJ18" s="1045">
        <f t="shared" si="4"/>
        <v>0</v>
      </c>
      <c r="AK18" s="1045">
        <f t="shared" si="4"/>
        <v>0</v>
      </c>
      <c r="AL18" s="1045">
        <f t="shared" si="4"/>
        <v>0</v>
      </c>
      <c r="AM18" s="1045">
        <f t="shared" si="4"/>
        <v>400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608</v>
      </c>
      <c r="BD18" s="1045">
        <f t="shared" si="4"/>
        <v>2751</v>
      </c>
      <c r="BE18" s="1045">
        <f t="shared" si="4"/>
        <v>0</v>
      </c>
      <c r="BF18" s="1045">
        <f t="shared" si="4"/>
        <v>0</v>
      </c>
      <c r="BG18" s="1045">
        <f>IF(ISNUMBER(Datos!K18/Datos!J18),Datos!K18/Datos!J18," - ")</f>
        <v>0.97499362082163821</v>
      </c>
      <c r="BH18" s="1049">
        <f>IF(ISNUMBER(((Datos!L18/Datos!K18)*11)/factor_trimestre),((Datos!L18/Datos!K18)*11)/factor_trimestre," - ")</f>
        <v>2.6783564511907878</v>
      </c>
      <c r="BI18" s="1045">
        <f>SUBTOTAL(9,BI15:BI17)</f>
        <v>0.52314289754444898</v>
      </c>
      <c r="BJ18" s="1045">
        <f>SUBTOTAL(9,BJ15:BJ17)</f>
        <v>0</v>
      </c>
      <c r="BK18" s="1045">
        <f>SUBTOTAL(9,BK15:BK17)</f>
        <v>0</v>
      </c>
      <c r="BL18" s="1045">
        <f>IF(ISNUMBER((I18-AB18+L18)/(F18)),(I18-AB18+L18)/(F18)," - ")</f>
        <v>-0.77868351334827801</v>
      </c>
      <c r="BM18" s="1051">
        <f>IF(ISNUMBER((Datos!P18-Datos!Q18)/(Datos!R18-Datos!P18+Datos!Q18)),(Datos!P18-Datos!Q18)/(Datos!R18-Datos!P18+Datos!Q18)," - ")</f>
        <v>9.8901098901098897E-2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4984</v>
      </c>
      <c r="G19" s="966">
        <f t="shared" si="6"/>
        <v>5099</v>
      </c>
      <c r="H19" s="968">
        <f t="shared" si="6"/>
        <v>0</v>
      </c>
      <c r="I19" s="966">
        <f t="shared" si="6"/>
        <v>0</v>
      </c>
      <c r="J19" s="968">
        <f t="shared" si="6"/>
        <v>0</v>
      </c>
      <c r="K19" s="968">
        <f t="shared" si="6"/>
        <v>0</v>
      </c>
      <c r="L19" s="1027">
        <f t="shared" si="6"/>
        <v>0</v>
      </c>
      <c r="M19" s="1027">
        <f t="shared" si="6"/>
        <v>0</v>
      </c>
      <c r="N19" s="1027">
        <f t="shared" si="6"/>
        <v>53</v>
      </c>
      <c r="O19" s="1027">
        <f t="shared" si="6"/>
        <v>0</v>
      </c>
      <c r="P19" s="1027">
        <f t="shared" si="6"/>
        <v>0</v>
      </c>
      <c r="Q19" s="968">
        <f t="shared" si="6"/>
        <v>596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3854</v>
      </c>
      <c r="AC19" s="967">
        <f t="shared" si="7"/>
        <v>241</v>
      </c>
      <c r="AD19" s="967">
        <f t="shared" si="7"/>
        <v>0</v>
      </c>
      <c r="AE19" s="967">
        <f t="shared" si="7"/>
        <v>0</v>
      </c>
      <c r="AF19" s="974">
        <f t="shared" si="7"/>
        <v>5224</v>
      </c>
      <c r="AG19" s="974">
        <f t="shared" si="7"/>
        <v>0</v>
      </c>
      <c r="AH19" s="974">
        <f t="shared" si="7"/>
        <v>263</v>
      </c>
      <c r="AI19" s="974">
        <f t="shared" si="7"/>
        <v>0</v>
      </c>
      <c r="AJ19" s="967">
        <f t="shared" si="7"/>
        <v>0</v>
      </c>
      <c r="AK19" s="974">
        <f t="shared" si="7"/>
        <v>0</v>
      </c>
      <c r="AL19" s="974">
        <f t="shared" si="7"/>
        <v>0</v>
      </c>
      <c r="AM19" s="974">
        <f t="shared" si="7"/>
        <v>12463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1124</v>
      </c>
      <c r="BD19" s="966">
        <f t="shared" si="7"/>
        <v>3983</v>
      </c>
      <c r="BE19" s="966">
        <f t="shared" si="7"/>
        <v>0</v>
      </c>
      <c r="BF19" s="976">
        <f t="shared" si="7"/>
        <v>0</v>
      </c>
      <c r="BG19" s="1061">
        <f>IF(ISNUMBER(Datos!K19/Datos!J19),Datos!K19/Datos!J19," - ")</f>
        <v>1.0080308384195309</v>
      </c>
      <c r="BH19" s="1061">
        <f>IF(ISNUMBER(((Datos!L19/Datos!K19)*11)/factor_trimestre),((Datos!L19/Datos!K19)*11)/factor_trimestre," - ")</f>
        <v>5.9034416826003824</v>
      </c>
      <c r="BI19" s="959">
        <f>IF(ISNUMBER(Datos!J19/Datos!I19),Datos!J19/Datos!I19," - ")</f>
        <v>0.33512757024437506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-0.7732744783306581</v>
      </c>
      <c r="BM19" s="1035">
        <f>IF(ISNUMBER((Datos!P19-Datos!Q19+R19)/(Datos!R19-Datos!P19+Datos!Q19-R19)),(Datos!P19-Datos!Q19+R19)/(Datos!R19-Datos!P19+Datos!Q19-R19)," - ")</f>
        <v>2.9319458209448299E-2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1699.6666666666667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2.8284271247461903</v>
      </c>
      <c r="F21" s="599">
        <f>IF(ISNUMBER(STDEV(F8:F18)),STDEV(F8:F18),"-")</f>
        <v>2656.5179841288482</v>
      </c>
      <c r="G21" s="600">
        <f>IF(ISNUMBER(STDEV(G8:G18)),STDEV(G8:G18),"-")</f>
        <v>2527.890161115919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1817.7041196703788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255.00420164605691</v>
      </c>
      <c r="BD21" s="599"/>
      <c r="BE21" s="599">
        <f>IF(ISNUMBER(STDEV(BE8:BE18)),STDEV(BE8:BE18),"-")</f>
        <v>0</v>
      </c>
      <c r="BF21" s="604">
        <f>IF(ISNUMBER(STDEV(BF8:BF18)),STDEV(BF8:BF18),"-")</f>
        <v>0</v>
      </c>
      <c r="BG21" s="914">
        <f>IF(ISNUMBER(STDEV(BG8:BG18)),STDEV(BG8:BG18),"-")</f>
        <v>0.20861700922882648</v>
      </c>
      <c r="BH21" s="918">
        <f>IF(ISNUMBER(STDEV(BH8:BH18)),STDEV(BH8:BH18),"-")</f>
        <v>4.6162724006945552</v>
      </c>
      <c r="BI21" s="253">
        <f>IF(ISNUMBER(STDEV(BI8:BI18)),STDEV(BI8:BI18),"-")</f>
        <v>0.20827297554589388</v>
      </c>
      <c r="BJ21" s="234" t="str">
        <f>IF(ISNUMBER(BL21/BM21),BL21/BM21," - ")</f>
        <v xml:space="preserve"> - </v>
      </c>
      <c r="BK21" s="626"/>
      <c r="BL21" s="607">
        <f>IF(ISNUMBER(STDEV(BL8:BL18)),STDEV(BL8:BL18),"-")</f>
        <v>0.24756662932106979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nX/jNbARQVML4VY/TrYLZctMo/Zjp5y8Q7nult71TZ5ToBPC1GlpqcakXEg5Ob4szS12Gy4q6oS+mtdn+ZyJg==" saltValue="Q5+C55m0k0H4PK49l+J+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ARONA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488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173</v>
      </c>
      <c r="AA9" s="505" t="str">
        <f>IF(ISNUMBER(IF(J_V="SI",Datos!L9,Datos!L9+Datos!AB9)-IF(Monitorios="SI",Datos!CD9,0)),
                          IF(J_V="SI",Datos!L9,Datos!L9+Datos!AB9)-IF(Monitorios="SI",Datos!CD9,0),
                          " - ")</f>
        <v xml:space="preserve"> - </v>
      </c>
      <c r="AB9" s="503"/>
      <c r="AC9" s="503"/>
      <c r="AD9" s="516"/>
      <c r="AE9" s="516">
        <f>IF(ISNUMBER(Datos!R9),Datos!R9," - ")</f>
        <v>12005</v>
      </c>
      <c r="AF9" s="619" t="str">
        <f>IF(ISNUMBER(Datos!BV9),Datos!BV9," - ")</f>
        <v xml:space="preserve"> - </v>
      </c>
      <c r="AG9" s="506" t="str">
        <f>IF(ISNUMBER(Datos!DV9),Datos!DV9," - ")</f>
        <v xml:space="preserve"> - </v>
      </c>
      <c r="AH9" s="507"/>
      <c r="AI9" s="508"/>
      <c r="AJ9" s="506">
        <f>IF(ISNUMBER(Datos!M9),Datos!M9," - ")</f>
        <v>499</v>
      </c>
      <c r="AK9" s="619">
        <f>IF(ISNUMBER(Datos!N9),Datos!N9," - ")</f>
        <v>1220</v>
      </c>
      <c r="AL9" s="619" t="str">
        <f>IF(ISNUMBER(Datos!BW9),Datos!BW9," - ")</f>
        <v xml:space="preserve"> - </v>
      </c>
      <c r="AM9" s="667" t="str">
        <f>IF(ISNUMBER(Datos!BX9),Datos!BX9," - ")</f>
        <v xml:space="preserve"> - </v>
      </c>
      <c r="AN9" s="668"/>
      <c r="AO9" s="669">
        <f>IF(ISNUMBER(((NºAsuntos!I9/NºAsuntos!G9)*11)/factor_trimestre),((NºAsuntos!I9/NºAsuntos!G9)*11)/factor_trimestre," - ")</f>
        <v>10.75654242664552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2.6946107784431138E-2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77</v>
      </c>
      <c r="G10" s="506">
        <f>IF(ISNUMBER(Datos!I10),Datos!I10," - ")</f>
        <v>77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33</v>
      </c>
      <c r="Z10" s="703">
        <f>IF(ISNUMBER(Datos!Q10),Datos!Q10," - ")</f>
        <v>9</v>
      </c>
      <c r="AA10" s="505">
        <f>IF(ISNUMBER(Datos!L10),Datos!L10,"-")</f>
        <v>107</v>
      </c>
      <c r="AB10" s="503"/>
      <c r="AC10" s="503"/>
      <c r="AD10" s="516"/>
      <c r="AE10" s="516">
        <f>IF(ISNUMBER(Datos!R10),Datos!R10," - ")</f>
        <v>58</v>
      </c>
      <c r="AF10" s="619" t="str">
        <f>IF(ISNUMBER(Datos!BV10),Datos!BV10," - ")</f>
        <v xml:space="preserve"> - </v>
      </c>
      <c r="AG10" s="506" t="str">
        <f>IF(ISNUMBER(Datos!DV10),Datos!DV10," - ")</f>
        <v xml:space="preserve"> - </v>
      </c>
      <c r="AH10" s="507"/>
      <c r="AI10" s="508"/>
      <c r="AJ10" s="506">
        <f>IF(ISNUMBER(Datos!M10),Datos!M10," - ")</f>
        <v>17</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6.4848484848484844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7.407407407407407E-2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77</v>
      </c>
      <c r="G13" s="1044">
        <f>SUBTOTAL(9,G8:G12)</f>
        <v>77</v>
      </c>
      <c r="H13" s="1054"/>
      <c r="I13" s="1044">
        <f t="shared" ref="I13:N13" si="0">SUBTOTAL(9,I8:I12)</f>
        <v>0</v>
      </c>
      <c r="J13" s="1013">
        <f t="shared" si="0"/>
        <v>0</v>
      </c>
      <c r="K13" s="1054">
        <f t="shared" si="0"/>
        <v>0</v>
      </c>
      <c r="L13" s="1054">
        <f t="shared" si="0"/>
        <v>0</v>
      </c>
      <c r="M13" s="1054">
        <f t="shared" si="0"/>
        <v>0</v>
      </c>
      <c r="N13" s="1054">
        <f t="shared" si="0"/>
        <v>501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33</v>
      </c>
      <c r="Z13" s="1053">
        <f t="shared" si="2"/>
        <v>182</v>
      </c>
      <c r="AA13" s="1046">
        <f t="shared" si="2"/>
        <v>107</v>
      </c>
      <c r="AB13" s="1046">
        <f t="shared" si="2"/>
        <v>0</v>
      </c>
      <c r="AC13" s="1046">
        <f t="shared" si="2"/>
        <v>0</v>
      </c>
      <c r="AD13" s="1046">
        <f t="shared" si="2"/>
        <v>0</v>
      </c>
      <c r="AE13" s="1046">
        <f t="shared" si="2"/>
        <v>12063</v>
      </c>
      <c r="AF13" s="1054">
        <f t="shared" si="2"/>
        <v>0</v>
      </c>
      <c r="AG13" s="1054">
        <f t="shared" si="2"/>
        <v>0</v>
      </c>
      <c r="AH13" s="1054">
        <f t="shared" si="2"/>
        <v>0</v>
      </c>
      <c r="AI13" s="1054">
        <f t="shared" si="2"/>
        <v>0</v>
      </c>
      <c r="AJ13" s="1054">
        <f t="shared" si="2"/>
        <v>516</v>
      </c>
      <c r="AK13" s="1054">
        <f t="shared" si="2"/>
        <v>1232</v>
      </c>
      <c r="AL13" s="1054">
        <f t="shared" si="2"/>
        <v>0</v>
      </c>
      <c r="AM13" s="1054">
        <f t="shared" si="2"/>
        <v>0</v>
      </c>
      <c r="AN13" s="1054">
        <f t="shared" si="2"/>
        <v>0</v>
      </c>
      <c r="AO13" s="1050">
        <f>IF(ISNUMBER(((NºAsuntos!I13/NºAsuntos!G13)*11)/factor_trimestre),((NºAsuntos!I13/NºAsuntos!G13)*11)/factor_trimestre," - ")</f>
        <v>10.701369863013699</v>
      </c>
      <c r="AP13" s="1056" t="str">
        <f>IF(ISNUMBER(Datos!CI13/Datos!CJ13),Datos!CI13/Datos!CJ13," - ")</f>
        <v xml:space="preserve"> - </v>
      </c>
      <c r="AQ13" s="1074">
        <f t="shared" ref="AQ13:AV13" si="3">SUBTOTAL(9,AQ9:AQ12)</f>
        <v>0</v>
      </c>
      <c r="AR13" s="1074">
        <f t="shared" si="3"/>
        <v>0.10102018185850521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4900</v>
      </c>
      <c r="G15" s="506">
        <f>IF(ISNUMBER(IF(D_I="SI",Datos!I15,Datos!I15+Datos!AC15)),IF(D_I="SI",Datos!I15,Datos!I15+Datos!AC15)," - ")</f>
        <v>4903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3414</v>
      </c>
      <c r="Z15" s="703">
        <f>IF(ISNUMBER(Datos!Q15),Datos!Q15," - ")</f>
        <v>51</v>
      </c>
      <c r="AA15" s="505">
        <f>IF(ISNUMBER(IF(D_I="SI",Datos!L15,Datos!L15+Datos!AF15)),IF(D_I="SI",Datos!L15,Datos!L15+Datos!AF15)," - ")</f>
        <v>4949</v>
      </c>
      <c r="AB15" s="503"/>
      <c r="AC15" s="503"/>
      <c r="AD15" s="516"/>
      <c r="AE15" s="516">
        <f>IF(ISNUMBER(Datos!R15),Datos!R15," - ")</f>
        <v>388</v>
      </c>
      <c r="AF15" s="619" t="str">
        <f>IF(ISNUMBER(Datos!BV15),Datos!BV15," - ")</f>
        <v xml:space="preserve"> - </v>
      </c>
      <c r="AG15" s="506"/>
      <c r="AH15" s="507"/>
      <c r="AI15" s="508"/>
      <c r="AJ15" s="506">
        <f>IF(ISNUMBER(Datos!M15),Datos!M15," - ")</f>
        <v>449</v>
      </c>
      <c r="AK15" s="619">
        <f>IF(ISNUMBER(Datos!N15),Datos!N15," - ")</f>
        <v>2543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2.8992384299941416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7</v>
      </c>
      <c r="G16" s="506">
        <f>IF(ISNUMBER(IF(D_I="SI",Datos!I16,Datos!I16+Datos!AC16)),IF(D_I="SI",Datos!I16,Datos!I16+Datos!AC16)," - ")</f>
        <v>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v>
      </c>
      <c r="Z16" s="703">
        <f>IF(ISNUMBER(Datos!Q16),Datos!Q16," - ")</f>
        <v>0</v>
      </c>
      <c r="AA16" s="505">
        <f>IF(ISNUMBER(IF(D_I="SI",Datos!L16,Datos!L16+Datos!AF16)),IF(D_I="SI",Datos!L16,Datos!L16+Datos!AF16)," - ")</f>
        <v>6</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406</v>
      </c>
      <c r="Z17" s="703">
        <f>IF(ISNUMBER(Datos!Q17),Datos!Q17," - ")</f>
        <v>8</v>
      </c>
      <c r="AA17" s="505">
        <f>IF(ISNUMBER(Datos!L17),Datos!L17,"-")</f>
        <v>162</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159</v>
      </c>
      <c r="AK17" s="619">
        <f>IF(ISNUMBER(Datos!N17),Datos!N17," - ")</f>
        <v>207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0.79802955665024633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4907</v>
      </c>
      <c r="G18" s="1044">
        <f>SUBTOTAL(9,G15:G17)</f>
        <v>5022</v>
      </c>
      <c r="H18" s="1078">
        <f>SUBTOTAL(9,H15:H17)</f>
        <v>0</v>
      </c>
      <c r="I18" s="1057">
        <f>SUBTOTAL(9,I15:I17)</f>
        <v>0</v>
      </c>
      <c r="J18" s="1013">
        <f>SUBTOTAL(9,J14:J17)</f>
        <v>0</v>
      </c>
      <c r="K18" s="1078">
        <f t="shared" ref="K18:S18" si="4">SUBTOTAL(9,K15:K17)</f>
        <v>0</v>
      </c>
      <c r="L18" s="1078">
        <f t="shared" si="4"/>
        <v>0</v>
      </c>
      <c r="M18" s="1078">
        <f t="shared" si="4"/>
        <v>0</v>
      </c>
      <c r="N18" s="1078">
        <f t="shared" si="4"/>
        <v>95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3821</v>
      </c>
      <c r="Z18" s="1078">
        <f t="shared" si="5"/>
        <v>59</v>
      </c>
      <c r="AA18" s="1078">
        <f t="shared" si="5"/>
        <v>5117</v>
      </c>
      <c r="AB18" s="1078">
        <f t="shared" si="5"/>
        <v>0</v>
      </c>
      <c r="AC18" s="1078">
        <f t="shared" si="5"/>
        <v>0</v>
      </c>
      <c r="AD18" s="1078">
        <f t="shared" si="5"/>
        <v>0</v>
      </c>
      <c r="AE18" s="1078">
        <f t="shared" si="5"/>
        <v>400</v>
      </c>
      <c r="AF18" s="1078">
        <f t="shared" si="5"/>
        <v>0</v>
      </c>
      <c r="AG18" s="1078">
        <f t="shared" si="5"/>
        <v>0</v>
      </c>
      <c r="AH18" s="1078">
        <f t="shared" si="5"/>
        <v>0</v>
      </c>
      <c r="AI18" s="1078">
        <f t="shared" si="5"/>
        <v>0</v>
      </c>
      <c r="AJ18" s="1078">
        <f t="shared" si="5"/>
        <v>608</v>
      </c>
      <c r="AK18" s="1078">
        <f t="shared" si="5"/>
        <v>2751</v>
      </c>
      <c r="AL18" s="1078">
        <f t="shared" si="5"/>
        <v>0</v>
      </c>
      <c r="AM18" s="1078">
        <f t="shared" si="5"/>
        <v>0</v>
      </c>
      <c r="AN18" s="1078">
        <f t="shared" si="5"/>
        <v>0</v>
      </c>
      <c r="AO18" s="1080">
        <f>IF(ISNUMBER(((NºAsuntos!I18/NºAsuntos!G18)*11)/factor_trimestre),((NºAsuntos!I18/NºAsuntos!G18)*11)/factor_trimestre," - ")</f>
        <v>2.6783564511907878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4984</v>
      </c>
      <c r="G19" s="966">
        <f t="shared" si="7"/>
        <v>5099</v>
      </c>
      <c r="H19" s="967">
        <f t="shared" si="7"/>
        <v>0</v>
      </c>
      <c r="I19" s="966">
        <f t="shared" si="7"/>
        <v>0</v>
      </c>
      <c r="J19" s="968">
        <f t="shared" si="7"/>
        <v>0</v>
      </c>
      <c r="K19" s="966">
        <f t="shared" si="7"/>
        <v>0</v>
      </c>
      <c r="L19" s="969">
        <f t="shared" si="7"/>
        <v>0</v>
      </c>
      <c r="M19" s="966">
        <f t="shared" si="7"/>
        <v>0</v>
      </c>
      <c r="N19" s="967">
        <f t="shared" si="7"/>
        <v>596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3854</v>
      </c>
      <c r="Z19" s="973">
        <f t="shared" si="8"/>
        <v>241</v>
      </c>
      <c r="AA19" s="974">
        <f t="shared" si="8"/>
        <v>5224</v>
      </c>
      <c r="AB19" s="974">
        <f t="shared" si="8"/>
        <v>0</v>
      </c>
      <c r="AC19" s="974">
        <f t="shared" si="8"/>
        <v>0</v>
      </c>
      <c r="AD19" s="975">
        <f t="shared" si="8"/>
        <v>0</v>
      </c>
      <c r="AE19" s="975">
        <f t="shared" si="8"/>
        <v>12463</v>
      </c>
      <c r="AF19" s="976">
        <f t="shared" si="8"/>
        <v>0</v>
      </c>
      <c r="AG19" s="977">
        <f t="shared" si="8"/>
        <v>0</v>
      </c>
      <c r="AH19" s="978">
        <f t="shared" si="8"/>
        <v>0</v>
      </c>
      <c r="AI19" s="976">
        <f t="shared" si="8"/>
        <v>0</v>
      </c>
      <c r="AJ19" s="966">
        <f t="shared" si="8"/>
        <v>1124</v>
      </c>
      <c r="AK19" s="966">
        <f t="shared" si="8"/>
        <v>3983</v>
      </c>
      <c r="AL19" s="966">
        <f t="shared" si="8"/>
        <v>0</v>
      </c>
      <c r="AM19" s="979">
        <f t="shared" si="8"/>
        <v>0</v>
      </c>
      <c r="AN19" s="969">
        <f>IF(ISNUMBER(Datos!K19/Datos!J19),Datos!K19/Datos!J19," - ")</f>
        <v>1.0080308384195309</v>
      </c>
      <c r="AO19" s="969">
        <f>IF(ISNUMBER(FIND("06",Criterios!A8,1)),(IF(ISNUMBER(((Datos!R19/Datos!Q19)*11)/factor_trimestre),((Datos!R19/Datos!Q19)*11)/factor_trimestre," - ")),(IF(ISNUMBER(((Datos!L19/Datos!K19)*11)/factor_trimestre),((Datos!L19/Datos!K19)*11)/factor_trimestre," - ")))</f>
        <v>5.9034416826003824</v>
      </c>
      <c r="AP19" s="980" t="str">
        <f>IF(ISNUMBER(Datos!CI19/Datos!CJ19),Datos!CI19/Datos!CJ19," - ")</f>
        <v xml:space="preserve"> - </v>
      </c>
      <c r="AQ19" s="980">
        <f>IF(OR(ISNUMBER(FIND("01",Criterios!A8,1)),ISNUMBER(FIND("02",Criterios!A8,1)),ISNUMBER(FIND("03",Criterios!A8,1)),ISNUMBER(FIND("04",Criterios!A8,1))),(J19-Y19+K19)/(F19-K19),(I19-Y19+K19)/(F19-K19))</f>
        <v>-0.7732744783306581</v>
      </c>
      <c r="AR19" s="980">
        <f>IF(ISNUMBER((Datos!P19-Datos!Q19+O19)/(Datos!R19-Datos!P19+Datos!Q19-O19)),(Datos!P19-Datos!Q19+O19)/(Datos!R19-Datos!P19+Datos!Q19-O19)," - ")</f>
        <v>2.9319458209448299E-2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1699.6666666666667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2656.5179841288482</v>
      </c>
      <c r="G21" s="600">
        <f>IF(ISNUMBER(STDEV(G8:G18)),STDEV(G8:G18),"-")</f>
        <v>2527.890161115919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255.00420164605691</v>
      </c>
      <c r="AK21" s="256"/>
      <c r="AL21" s="256">
        <f>IF(ISNUMBER(STDEV(AL8:AL18)),STDEV(AL8:AL18),"-")</f>
        <v>0</v>
      </c>
      <c r="AM21" s="258">
        <f>IF(ISNUMBER(STDEV(AM8:AM18)),STDEV(AM8:AM18),"-")</f>
        <v>0</v>
      </c>
      <c r="AN21" s="586">
        <f>IF(ISNUMBER(STDEV(AN8:AN18)),STDEV(AN8:AN18),"-")</f>
        <v>0</v>
      </c>
      <c r="AO21" s="587">
        <f>IF(ISNUMBER(STDEV(AO8:AO18)),STDEV(AO8:AO18),"-")</f>
        <v>4.5827052193622793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OZlFBa8kUNzKHB+jzNoQGD/IEC8Mq2yYKMhOyZoy2MTfR6oUFarU22iwBMyI3XZ+CaNjo76kbQlj8EvW6/jeg==" saltValue="o0uAqRBS4ZoyyS3oSro1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6S6LNKmL9H0s8S+TvDZ6J0xm2nKjX2RhyE4VA9JcaOl8AvRBwEWPSO0K5r1sA/9l++WNcdgA01lE+XTdONPYw==" saltValue="g6mQ5cJnwvneidOBuwdY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eGboqyW+QGVjVWTB+M7ZWroH5UCUvN83xqCHddc8cihsJ9+qFBdjXpxnziBt5xcPsjbDHdSo9BWEgRxD4E3kA==" saltValue="oBjg/TN7yefagIjJO10b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ARONA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0.20195694716242663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0.14280512684628513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arWrFlJeFtUWDfONTHGwiLbcF/j7PkrTDWT9hJ2lcS3dRblT7JKW816RHkqqO9wgp9Ci7aQmGXN98qOyoKlIA==" saltValue="60RFrQYcZX8AJ1+hyHHO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rKgHfNDDhJ5yHHvPICjqPOIKcEkkcmnfAnuN0QugDtSXbXFxicOvZO2xScLdS63k/9ZOPCSq0hw9wtobwc2ArA==" saltValue="8bO3jgBlnR2x+ryLQSIQ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ARONA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13789</v>
      </c>
      <c r="D9" s="415">
        <f>IF(ISNUMBER(C9/Datos!BH9),C9/Datos!BH9," - ")</f>
        <v>2298.1666666666665</v>
      </c>
      <c r="E9" s="414">
        <f>IF(ISNUMBER(IF(J_V="SI",Datos!J9,Datos!J9+Datos!Z9)),IF(J_V="SI",Datos!J9,Datos!J9+Datos!Z9)," - ")</f>
        <v>2297</v>
      </c>
      <c r="F9" s="415">
        <f>IF(ISNUMBER(E9/B9),E9/B9," - ")</f>
        <v>382.83333333333331</v>
      </c>
      <c r="G9" s="414">
        <f>IF(ISNUMBER(IF(J_V="SI",Datos!K9,Datos!K9+Datos!AA9)),IF(J_V="SI",Datos!K9,Datos!K9+Datos!AA9)," - ")</f>
        <v>2522</v>
      </c>
      <c r="H9" s="415">
        <f>IF(ISNUMBER(G9/B9),G9/B9," - ")</f>
        <v>420.33333333333331</v>
      </c>
      <c r="I9" s="414">
        <f>IF(ISNUMBER(IF(J_V="SI",Datos!L9,Datos!L9+Datos!AB9)),IF(J_V="SI",Datos!L9,Datos!L9+Datos!AB9)," - ")</f>
        <v>13564</v>
      </c>
      <c r="J9" s="415">
        <f>IF(ISNUMBER(I9/B9),I9/B9," - ")</f>
        <v>2260.6666666666665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77</v>
      </c>
      <c r="D10" s="415">
        <f>IF(ISNUMBER(C10/Datos!BH10),C10/Datos!BH10," - ")</f>
        <v>77</v>
      </c>
      <c r="E10" s="414">
        <f>IF(ISNUMBER(Datos!J10),Datos!J10," - ")</f>
        <v>63</v>
      </c>
      <c r="F10" s="415">
        <f>IF(ISNUMBER(E10/B10),E10/B10," - ")</f>
        <v>63</v>
      </c>
      <c r="G10" s="414">
        <f>IF(ISNUMBER(Datos!K10),Datos!K10," - ")</f>
        <v>33</v>
      </c>
      <c r="H10" s="415">
        <f>IF(ISNUMBER(G10/B10),G10/B10," - ")</f>
        <v>33</v>
      </c>
      <c r="I10" s="414">
        <f>IF(ISNUMBER(Datos!L10),Datos!L10," - ")</f>
        <v>107</v>
      </c>
      <c r="J10" s="415">
        <f>IF(ISNUMBER(I10/B10),I10/B10," - ")</f>
        <v>107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13866</v>
      </c>
      <c r="D13" s="996" t="str">
        <f>IF(ISNUMBER(C13/Datos!BI13),C13/Datos!BI13," - ")</f>
        <v xml:space="preserve"> - </v>
      </c>
      <c r="E13" s="995">
        <f>SUBTOTAL(9,E8:E12)</f>
        <v>2360</v>
      </c>
      <c r="F13" s="996">
        <f>IF(ISNUMBER(E13/B13),E13/B13," - ")</f>
        <v>337.14285714285717</v>
      </c>
      <c r="G13" s="995">
        <f>SUBTOTAL(9,G8:G12)</f>
        <v>2555</v>
      </c>
      <c r="H13" s="996">
        <f>IF(ISNUMBER(G13/B13),G13/B13," - ")</f>
        <v>365</v>
      </c>
      <c r="I13" s="995">
        <f>SUBTOTAL(9,I8:I12)</f>
        <v>13671</v>
      </c>
      <c r="J13" s="996">
        <f>IF(ISNUMBER(I13/B13),I13/B13," - ")</f>
        <v>1953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4903</v>
      </c>
      <c r="D15" s="415">
        <f>IF(ISNUMBER(C15/Datos!BH15),C15/Datos!BH15," - ")</f>
        <v>1225.75</v>
      </c>
      <c r="E15" s="414">
        <f>IF(ISNUMBER(IF(D_I="SI",Datos!J15,Datos!J15+Datos!AD15)),IF(D_I="SI",Datos!J15,Datos!J15+Datos!AD15)," - ")</f>
        <v>3463</v>
      </c>
      <c r="F15" s="415">
        <f>IF(ISNUMBER(E15/B15),E15/B15," - ")</f>
        <v>865.75</v>
      </c>
      <c r="G15" s="414">
        <f>IF(ISNUMBER(IF(D_I="SI",Datos!K15,Datos!K15+Datos!AE15)),IF(D_I="SI",Datos!K15,Datos!K15+Datos!AE15)," - ")</f>
        <v>3414</v>
      </c>
      <c r="H15" s="415">
        <f>IF(ISNUMBER(G15/B15),G15/B15," - ")</f>
        <v>853.5</v>
      </c>
      <c r="I15" s="414">
        <f>IF(ISNUMBER(IF(D_I="SI",Datos!L15,Datos!L15+Datos!AF15)),IF(D_I="SI",Datos!L15,Datos!L15+Datos!AF15)," - ")</f>
        <v>4949</v>
      </c>
      <c r="J15" s="415">
        <f>IF(ISNUMBER(I15/B15),I15/B15," - ")</f>
        <v>1237.25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7</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1</v>
      </c>
      <c r="H16" s="415" t="str">
        <f>IF(ISNUMBER(G16/B16),G16/B16," - ")</f>
        <v xml:space="preserve"> - </v>
      </c>
      <c r="I16" s="414">
        <f>IF(ISNUMBER(IF(D_I="SI",Datos!L16,Datos!L16+Datos!AF16)),IF(D_I="SI",Datos!L16,Datos!L16+Datos!AF16)," - ")</f>
        <v>6</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112</v>
      </c>
      <c r="D17" s="415">
        <f>IF(ISNUMBER(C17/Datos!BH17),C17/Datos!BH17," - ")</f>
        <v>112</v>
      </c>
      <c r="E17" s="414">
        <f>IF(ISNUMBER(IF(D_I="SI",Datos!J17,Datos!J17+Datos!AD17)),IF(D_I="SI",Datos!J17,Datos!J17+Datos!AD17)," - ")</f>
        <v>456</v>
      </c>
      <c r="F17" s="415">
        <f>IF(ISNUMBER(E17/B17),E17/B17," - ")</f>
        <v>456</v>
      </c>
      <c r="G17" s="414">
        <f>IF(ISNUMBER(IF(D_I="SI",Datos!K17,Datos!K17+Datos!AE17)),IF(D_I="SI",Datos!K17,Datos!K17+Datos!AE17)," - ")</f>
        <v>406</v>
      </c>
      <c r="H17" s="415">
        <f>IF(ISNUMBER(G17/B17),G17/B17," - ")</f>
        <v>406</v>
      </c>
      <c r="I17" s="414">
        <f>IF(ISNUMBER(IF(D_I="SI",Datos!L17,Datos!L17+Datos!AF17)),IF(D_I="SI",Datos!L17,Datos!L17+Datos!AF17)," - ")</f>
        <v>162</v>
      </c>
      <c r="J17" s="415">
        <f>IF(ISNUMBER(I17/B17),I17/B17," - ")</f>
        <v>162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5022</v>
      </c>
      <c r="D18" s="996" t="str">
        <f>IF(ISNUMBER(C18/Datos!BI18),C18/Datos!BI18," - ")</f>
        <v xml:space="preserve"> - </v>
      </c>
      <c r="E18" s="995">
        <f>SUBTOTAL(9,E14:E17)</f>
        <v>3919</v>
      </c>
      <c r="F18" s="996">
        <f>IF(ISNUMBER(E18/B18),E18/B18," - ")</f>
        <v>783.8</v>
      </c>
      <c r="G18" s="995">
        <f>SUBTOTAL(9,G14:G17)</f>
        <v>3821</v>
      </c>
      <c r="H18" s="996">
        <f>IF(ISNUMBER(G18/B18),G18/B18," - ")</f>
        <v>764.2</v>
      </c>
      <c r="I18" s="995">
        <f>SUBTOTAL(9,I14:I17)</f>
        <v>5117</v>
      </c>
      <c r="J18" s="996">
        <f>IF(ISNUMBER(I18/B18),I18/B18," - ")</f>
        <v>1023.4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18888</v>
      </c>
      <c r="D19" s="941" t="str">
        <f>IF(ISNUMBER(C19/Datos!BI19),C19/Datos!BI19," - ")</f>
        <v xml:space="preserve"> - </v>
      </c>
      <c r="E19" s="940">
        <f>SUBTOTAL(9,E9:E18)</f>
        <v>6279</v>
      </c>
      <c r="F19" s="941">
        <f>IF(ISNUMBER(E19/B19),E19/B19," - ")</f>
        <v>570.81818181818187</v>
      </c>
      <c r="G19" s="940">
        <f>SUBTOTAL(9,G9:G18)</f>
        <v>6376</v>
      </c>
      <c r="H19" s="941">
        <f>IF(ISNUMBER(G19/B19),G19/B19," - ")</f>
        <v>579.63636363636363</v>
      </c>
      <c r="I19" s="940">
        <f>SUBTOTAL(9,I9:I18)</f>
        <v>18788</v>
      </c>
      <c r="J19" s="941">
        <f>IF(ISNUMBER(I19/B19),I19/B19," - ")</f>
        <v>1708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5iAepEq5qNY0x6D9UFAv+FVPJtxyvEowMXr1Q3dzYddFzKYfLSCUA1fqZY4s0ZIG9rVsAyLZNvZjfvbKmKX/A==" saltValue="tnaIaz4WiNijX+T1oUHB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ARONA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77</v>
      </c>
      <c r="G10" s="802">
        <f>IF(ISNUMBER(Datos!I10),Datos!I10," - ")</f>
        <v>77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33</v>
      </c>
      <c r="AC10" s="801" t="str">
        <f>IF(ISNUMBER(IF(D_I="SI",DatosP!K17,DatosP!K17+DatosP!AE17)),IF(D_I="SI",DatosP!K17,DatosP!K17+DatosP!AE17)," - ")</f>
        <v xml:space="preserve"> - </v>
      </c>
      <c r="AD10" s="803"/>
      <c r="AE10" s="803"/>
      <c r="AF10" s="806">
        <f>IF(ISNUMBER(Datos!L10),Datos!L10,"-")</f>
        <v>107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6.4848484848484844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77</v>
      </c>
      <c r="G13" s="1084">
        <f t="shared" si="0"/>
        <v>77</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33</v>
      </c>
      <c r="AC13" s="1085">
        <f t="shared" si="1"/>
        <v>0</v>
      </c>
      <c r="AD13" s="1085">
        <f t="shared" si="1"/>
        <v>0</v>
      </c>
      <c r="AE13" s="1085">
        <f t="shared" si="1"/>
        <v>0</v>
      </c>
      <c r="AF13" s="1085">
        <f t="shared" si="1"/>
        <v>107</v>
      </c>
      <c r="AG13" s="1085">
        <f t="shared" si="1"/>
        <v>0</v>
      </c>
      <c r="AH13" s="1085">
        <f t="shared" si="1"/>
        <v>0</v>
      </c>
      <c r="AI13" s="1085">
        <f t="shared" si="1"/>
        <v>0</v>
      </c>
      <c r="AJ13" s="1085">
        <f t="shared" si="1"/>
        <v>0</v>
      </c>
      <c r="AK13" s="1085">
        <f t="shared" si="1"/>
        <v>0</v>
      </c>
      <c r="AL13" s="1085">
        <f t="shared" si="1"/>
        <v>17</v>
      </c>
      <c r="AM13" s="1085">
        <f t="shared" si="1"/>
        <v>12</v>
      </c>
      <c r="AN13" s="1085">
        <f t="shared" si="1"/>
        <v>0</v>
      </c>
      <c r="AO13" s="1085">
        <f t="shared" si="1"/>
        <v>0</v>
      </c>
      <c r="AP13" s="1090">
        <f>IF(ISNUMBER(((Datos!L13/Datos!K13)*11)/factor_trimestre),((Datos!L13/Datos!K13)*11)/factor_trimestre," - ")</f>
        <v>10.923014256619144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2.6783564511907878</v>
      </c>
      <c r="AQ18" s="1090">
        <f>IF(ISNUMBER(((Datos!M18/Datos!L18)*11)/factor_trimestre),((Datos!M18/Datos!L18)*11)/factor_trimestre," - ")</f>
        <v>0.23763924174320891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9.8901098901098897E-2</v>
      </c>
      <c r="AW18" s="1092">
        <f>IF(ISNUMBER((Datos!Q18-Datos!R18)/(Datos!S18-Datos!Q18+Datos!R18)),(Datos!Q18-Datos!R18)/(Datos!S18-Datos!Q18+Datos!R18)," - ")</f>
        <v>-8.1171149726255651E-2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77</v>
      </c>
      <c r="G19" s="1097">
        <f t="shared" si="4"/>
        <v>77</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33</v>
      </c>
      <c r="AC19" s="1103">
        <f t="shared" si="5"/>
        <v>0</v>
      </c>
      <c r="AD19" s="1103">
        <f t="shared" si="5"/>
        <v>0</v>
      </c>
      <c r="AE19" s="1103">
        <f t="shared" si="5"/>
        <v>0</v>
      </c>
      <c r="AF19" s="1104">
        <f t="shared" si="5"/>
        <v>107</v>
      </c>
      <c r="AG19" s="1104">
        <f t="shared" si="5"/>
        <v>0</v>
      </c>
      <c r="AH19" s="1104">
        <f t="shared" si="5"/>
        <v>0</v>
      </c>
      <c r="AI19" s="1104">
        <f t="shared" si="5"/>
        <v>0</v>
      </c>
      <c r="AJ19" s="1105">
        <f t="shared" si="5"/>
        <v>0</v>
      </c>
      <c r="AK19" s="1105">
        <f t="shared" si="5"/>
        <v>0</v>
      </c>
      <c r="AL19" s="1097">
        <f t="shared" si="5"/>
        <v>17</v>
      </c>
      <c r="AM19" s="1097">
        <f t="shared" si="5"/>
        <v>12</v>
      </c>
      <c r="AN19" s="1097">
        <f t="shared" si="5"/>
        <v>0</v>
      </c>
      <c r="AO19" s="1097">
        <f t="shared" si="5"/>
        <v>0</v>
      </c>
      <c r="AP19" s="1097">
        <f>IF(ISNUMBER(((Datos!L19/Datos!K19)*11)/factor_trimestre),((Datos!L19/Datos!K19)*11)/factor_trimestre," - ")</f>
        <v>5.9034416826003824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2.9319458209448299E-2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44.455970727601184</v>
      </c>
      <c r="G21" s="870">
        <f>IF(ISNUMBER(STDEV(G8:G18)),STDEV(G8:G18),"-")</f>
        <v>44.455970727601184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19.05255888325765</v>
      </c>
      <c r="AC21" s="871">
        <f>IF(ISNUMBER(STDEV(AC8:AC18)),STDEV(AC8:AC18),"-")</f>
        <v>0</v>
      </c>
      <c r="AD21" s="874"/>
      <c r="AE21" s="874"/>
      <c r="AF21" s="874"/>
      <c r="AG21" s="874"/>
      <c r="AH21" s="874"/>
      <c r="AI21" s="874"/>
      <c r="AJ21" s="875">
        <f>IF(ISNUMBER(STDEV(AJ8:AJ18)),STDEV(AJ8:AJ18),"-")</f>
        <v>0</v>
      </c>
      <c r="AK21" s="877"/>
      <c r="AL21" s="869">
        <f>IF(ISNUMBER(STDEV(AL8:AL18)),STDEV(AL8:AL18),"-")</f>
        <v>9.8149545762236379</v>
      </c>
      <c r="AM21" s="869"/>
      <c r="AN21" s="869">
        <f>IF(ISNUMBER(STDEV(AN8:AN18)),STDEV(AN8:AN18),"-")</f>
        <v>0</v>
      </c>
      <c r="AO21" s="875">
        <f>IF(ISNUMBER(STDEV(AO8:AO18)),STDEV(AO8:AO18),"-")</f>
        <v>0</v>
      </c>
      <c r="AP21" s="922">
        <f>IF(ISNUMBER(STDEV(AP8:AP18)),STDEV(AP8:AP18),"-")</f>
        <v>4.1263599646788549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wCe9UUbdfs+eeXKEm7iuY7yTCju6yH9zHrZl4+Xh49K4Myt5OALoZ7bUhfrI1wVpAgvzEnowJfdfJDNC67jug==" saltValue="q52WrSk9ojRI3yn5Mbsj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ARONA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k/mW5yTSvo/Sb0dJA64VSIZiE4F7btmnA/e2BKwnuXyks9KRbhIm0VUIe191oz9KAxKpkhzmoY7sS4yKiSTuA==" saltValue="Gu38xpNRuvtdM077TXNM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ARONA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499</v>
      </c>
      <c r="E9" s="415">
        <f t="shared" ref="E9:E13" si="0">IF(ISNUMBER(D9/B9),D9/B9," - ")</f>
        <v>83.166666666666671</v>
      </c>
      <c r="F9" s="414">
        <f>IF(ISNUMBER(Datos!N9),Datos!N9," - ")</f>
        <v>1220</v>
      </c>
      <c r="G9" s="415">
        <f t="shared" ref="G9:G13" si="1">IF(ISNUMBER(F9/B9),F9/B9," - ")</f>
        <v>203.33333333333334</v>
      </c>
      <c r="H9" s="414">
        <f>IF(ISNUMBER(Datos!O9),Datos!O9," - ")</f>
        <v>946</v>
      </c>
      <c r="I9" s="415">
        <f>IF(ISNUMBER(H9/B9),H9/B9," - ")</f>
        <v>157.66666666666666</v>
      </c>
    </row>
    <row r="10" spans="1:9">
      <c r="A10" s="413" t="str">
        <f>Datos!A10</f>
        <v>Jdos. Violencia contra la mujer</v>
      </c>
      <c r="B10" s="443">
        <f>Datos!AO10</f>
        <v>1</v>
      </c>
      <c r="C10" s="421">
        <f>Datos!AQ10</f>
        <v>1</v>
      </c>
      <c r="D10" s="414">
        <f>IF(ISNUMBER(Datos!M10),Datos!M10," - ")</f>
        <v>17</v>
      </c>
      <c r="E10" s="415">
        <f>IF(ISNUMBER(D10/B10),D10/B10," - ")</f>
        <v>17</v>
      </c>
      <c r="F10" s="414">
        <f>IF(ISNUMBER(Datos!N10),Datos!N10," - ")</f>
        <v>12</v>
      </c>
      <c r="G10" s="415">
        <f>IF(ISNUMBER(F10/B10),F10/B10," - ")</f>
        <v>12</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516</v>
      </c>
      <c r="E13" s="996">
        <f t="shared" si="0"/>
        <v>73.714285714285708</v>
      </c>
      <c r="F13" s="995">
        <f>SUBTOTAL(9,F9:F12)</f>
        <v>1232</v>
      </c>
      <c r="G13" s="996">
        <f t="shared" si="1"/>
        <v>176</v>
      </c>
      <c r="H13" s="995">
        <f>SUBTOTAL(9,H9:H12)</f>
        <v>954</v>
      </c>
      <c r="I13" s="996">
        <f>IF(ISNUMBER(H13/B13),H13/B13," - ")</f>
        <v>136.28571428571428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449</v>
      </c>
      <c r="E15" s="415">
        <f t="shared" ref="E15:E18" si="3">IF(ISNUMBER(D15/B15),D15/B15," - ")</f>
        <v>112.25</v>
      </c>
      <c r="F15" s="414">
        <f>IF(ISNUMBER(Datos!N15),Datos!N15," - ")</f>
        <v>2543</v>
      </c>
      <c r="G15" s="415">
        <f t="shared" ref="G15:G18" si="4">IF(ISNUMBER(F15/B15),F15/B15," - ")</f>
        <v>635.75</v>
      </c>
      <c r="H15" s="414">
        <f>IF(ISNUMBER(Datos!O15),Datos!O15," - ")</f>
        <v>49</v>
      </c>
      <c r="I15" s="415">
        <f t="shared" ref="I15:I17" si="5">IF(ISNUMBER(H15/B15),H15/B15," - ")</f>
        <v>12.25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1</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159</v>
      </c>
      <c r="E17" s="415">
        <f>IF(ISNUMBER(D17/B17),D17/B17," - ")</f>
        <v>159</v>
      </c>
      <c r="F17" s="414">
        <f>IF(ISNUMBER(Datos!N17),Datos!N17," - ")</f>
        <v>207</v>
      </c>
      <c r="G17" s="415">
        <f>IF(ISNUMBER(F17/B17),F17/B17," - ")</f>
        <v>207</v>
      </c>
      <c r="H17" s="414">
        <f>IF(ISNUMBER(Datos!O17),Datos!O17," - ")</f>
        <v>8</v>
      </c>
      <c r="I17" s="415">
        <f t="shared" si="5"/>
        <v>8</v>
      </c>
    </row>
    <row r="18" spans="1:9" ht="14.25" thickTop="1" thickBot="1">
      <c r="A18" s="994" t="str">
        <f>Datos!A18</f>
        <v>TOTAL</v>
      </c>
      <c r="B18" s="995">
        <f>Datos!AO18</f>
        <v>5</v>
      </c>
      <c r="C18" s="997">
        <f>Datos!AR18</f>
        <v>5</v>
      </c>
      <c r="D18" s="995">
        <f>SUBTOTAL(9,D15:D17)</f>
        <v>608</v>
      </c>
      <c r="E18" s="996">
        <f t="shared" si="3"/>
        <v>121.6</v>
      </c>
      <c r="F18" s="995">
        <f>SUBTOTAL(9,F15:F17)</f>
        <v>2751</v>
      </c>
      <c r="G18" s="996">
        <f t="shared" si="4"/>
        <v>550.20000000000005</v>
      </c>
      <c r="H18" s="995">
        <f>SUBTOTAL(9,H15:H17)</f>
        <v>57</v>
      </c>
      <c r="I18" s="996">
        <f>IF(ISNUMBER(H18/B18),H18/B18," - ")</f>
        <v>11.4</v>
      </c>
    </row>
    <row r="19" spans="1:9" ht="14.25" thickTop="1" thickBot="1">
      <c r="A19" s="939" t="str">
        <f>Datos!A19</f>
        <v>TOTAL JURISDICCIONES</v>
      </c>
      <c r="B19" s="940">
        <f>Datos!AP19</f>
        <v>11</v>
      </c>
      <c r="C19" s="940">
        <f>Datos!AR19</f>
        <v>11</v>
      </c>
      <c r="D19" s="940">
        <f>SUBTOTAL(9,D8:D18)</f>
        <v>1124</v>
      </c>
      <c r="E19" s="941">
        <f>IF(ISNUMBER(D19/B19),D19/B19," - ")</f>
        <v>102.18181818181819</v>
      </c>
      <c r="F19" s="940">
        <f>SUBTOTAL(9,F8:F18)</f>
        <v>3983</v>
      </c>
      <c r="G19" s="941">
        <f>IF(ISNUMBER(F19/B19),F19/B19," - ")</f>
        <v>362.09090909090907</v>
      </c>
      <c r="H19" s="940">
        <f>SUBTOTAL(9,H8:H18)</f>
        <v>1011</v>
      </c>
      <c r="I19" s="941">
        <f>IF(ISNUMBER(H19/B19),H19/B19," - ")</f>
        <v>91.909090909090907</v>
      </c>
    </row>
    <row r="22" spans="1:9">
      <c r="A22" s="402" t="str">
        <f>Criterios!A4</f>
        <v>Fecha Informe: 29 nov. 2023</v>
      </c>
    </row>
    <row r="27" spans="1:9">
      <c r="A27" s="425"/>
    </row>
  </sheetData>
  <sheetProtection algorithmName="SHA-512" hashValue="AdA//f8TMJfozOHhkAuIwW5m7VIJeLXyawTmpPPzGWSwVUctJvO6nRhwx9ONVghrB6wWuj3yQwrh7+ufQm/qfw==" saltValue="z3Umx5nKpGkWvdMetXGY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ARONA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488</v>
      </c>
      <c r="C9" s="450">
        <f>IF(ISNUMBER(Datos!Q9),Datos!Q9," - ")</f>
        <v>173</v>
      </c>
      <c r="D9" s="419">
        <f>IF(ISNUMBER(Datos!R9),Datos!R9," - ")</f>
        <v>12005</v>
      </c>
    </row>
    <row r="10" spans="1:4">
      <c r="A10" s="413" t="str">
        <f>Datos!A10</f>
        <v>Jdos. Violencia contra la mujer</v>
      </c>
      <c r="B10" s="449">
        <f>IF(ISNUMBER(Datos!P10),Datos!P10," - ")</f>
        <v>13</v>
      </c>
      <c r="C10" s="450">
        <f>IF(ISNUMBER(Datos!Q10),Datos!Q10," - ")</f>
        <v>9</v>
      </c>
      <c r="D10" s="419">
        <f>IF(ISNUMBER(Datos!R10),Datos!R10," - ")</f>
        <v>58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501</v>
      </c>
      <c r="C13" s="999">
        <f>SUBTOTAL(9,C9:C12)</f>
        <v>182</v>
      </c>
      <c r="D13" s="997">
        <f>SUBTOTAL(9,D9:D12)</f>
        <v>12063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81</v>
      </c>
      <c r="C15" s="450">
        <f>IF(ISNUMBER(Datos!Q15),Datos!Q15," - ")</f>
        <v>51</v>
      </c>
      <c r="D15" s="419">
        <f>IF(ISNUMBER(Datos!R15),Datos!R15," - ")</f>
        <v>388</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14</v>
      </c>
      <c r="C17" s="450">
        <f>IF(ISNUMBER(Datos!Q17),Datos!Q17," - ")</f>
        <v>8</v>
      </c>
      <c r="D17" s="419">
        <f>IF(ISNUMBER(Datos!R17),Datos!R17," - ")</f>
        <v>12</v>
      </c>
    </row>
    <row r="18" spans="1:4" ht="14.25" thickTop="1" thickBot="1">
      <c r="A18" s="994" t="str">
        <f>Datos!A18</f>
        <v>TOTAL</v>
      </c>
      <c r="B18" s="995">
        <f>SUBTOTAL(9,B15:B17)</f>
        <v>95</v>
      </c>
      <c r="C18" s="999">
        <f>SUBTOTAL(9,C15:C17)</f>
        <v>59</v>
      </c>
      <c r="D18" s="997">
        <f>SUBTOTAL(9,D15:D17)</f>
        <v>400</v>
      </c>
    </row>
    <row r="19" spans="1:4" ht="16.5" customHeight="1" thickTop="1" thickBot="1">
      <c r="A19" s="939" t="str">
        <f>Datos!A19</f>
        <v>TOTAL JURISDICCIONES</v>
      </c>
      <c r="B19" s="944">
        <f>SUBTOTAL(9,B8:B18)</f>
        <v>596</v>
      </c>
      <c r="C19" s="945">
        <f>SUBTOTAL(9,C8:C18)</f>
        <v>241</v>
      </c>
      <c r="D19" s="946">
        <f>SUBTOTAL(9,D8:D18)</f>
        <v>12463</v>
      </c>
    </row>
    <row r="20" spans="1:4" ht="7.5" customHeight="1"/>
    <row r="21" spans="1:4" ht="6" customHeight="1"/>
    <row r="22" spans="1:4">
      <c r="A22" s="402" t="str">
        <f>Criterios!A4</f>
        <v>Fecha Informe: 29 nov. 2023</v>
      </c>
    </row>
    <row r="27" spans="1:4">
      <c r="A27" s="425"/>
    </row>
  </sheetData>
  <sheetProtection algorithmName="SHA-512" hashValue="2kFA/lYntc7TSIxLAsjiR7XQuc2P/OmBSyyABvRg8dptRxzebYdBajk86zQP5LlP4apwDDSD8YCrJA6X1/Oduw==" saltValue="n9J3dRS329/xucYYpbJ+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ARONA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6.6187272867857416E-2</v>
      </c>
      <c r="C9" s="472">
        <f>IF(ISNUMBER(
   IF(J_V="SI",(Datos!J9-Datos!T9)/Datos!T9,(Datos!J9+Datos!Z9-(Datos!T9+Datos!AH9))/(Datos!T9+Datos!AH9))
     ),IF(J_V="SI",(Datos!J9-Datos!T9)/Datos!T9,(Datos!J9+Datos!Z9-(Datos!T9+Datos!AH9))/(Datos!T9+Datos!AH9))," - ")</f>
        <v>-8.6318515321536469E-3</v>
      </c>
      <c r="D9" s="472">
        <f>IF(ISNUMBER(
   IF(J_V="SI",(Datos!K9-Datos!U9)/Datos!U9,(Datos!K9+Datos!AA9-(Datos!U9+Datos!AI9))/(Datos!U9+Datos!AI9))
     ),IF(J_V="SI",(Datos!K9-Datos!U9)/Datos!U9,(Datos!K9+Datos!AA9-(Datos!U9+Datos!AI9))/(Datos!U9+Datos!AI9))," - ")</f>
        <v>0.31972789115646261</v>
      </c>
      <c r="E9" s="472">
        <f>IF(ISNUMBER(
   IF(J_V="SI",(Datos!L9-Datos!V9)/Datos!V9,(Datos!L9+Datos!AB9-(Datos!V9+Datos!AJ9))/(Datos!V9+Datos!AJ9))
     ),IF(J_V="SI",(Datos!L9-Datos!V9)/Datos!V9,(Datos!L9+Datos!AB9-(Datos!V9+Datos!AJ9))/(Datos!V9+Datos!AJ9))," - ")</f>
        <v>1.1710300589244424E-2</v>
      </c>
      <c r="F9" s="472">
        <f>IF(ISNUMBER((Datos!M9-Datos!W9)/Datos!W9),(Datos!M9-Datos!W9)/Datos!W9," - ")</f>
        <v>-7.9522862823061622E-3</v>
      </c>
      <c r="G9" s="473">
        <f>IF(ISNUMBER((Datos!N9-Datos!X9)/Datos!X9),(Datos!N9-Datos!X9)/Datos!X9," - ")</f>
        <v>0.46107784431137727</v>
      </c>
      <c r="H9" s="471">
        <f>IF(ISNUMBER(((NºAsuntos!G9/NºAsuntos!E9)-Datos!BD9)/Datos!BD9),((NºAsuntos!G9/NºAsuntos!E9)-Datos!BD9)/Datos!BD9," - ")</f>
        <v>0.3312187739701889</v>
      </c>
      <c r="I9" s="472">
        <f>IF(ISNUMBER(((NºAsuntos!I9/NºAsuntos!G9)-Datos!BE9)/Datos!BE9),((NºAsuntos!I9/NºAsuntos!G9)-Datos!BE9)/Datos!BE9," - ")</f>
        <v>-0.23339477223392302</v>
      </c>
      <c r="J9" s="477">
        <f>IF(ISNUMBER((('Resol  Asuntos'!D9/NºAsuntos!G9)-Datos!BF9)/Datos!BF9),(('Resol  Asuntos'!D9/NºAsuntos!G9)-Datos!BF9)/Datos!BF9," - ")</f>
        <v>-0.5471757515896043</v>
      </c>
      <c r="K9" s="478">
        <f>IF(ISNUMBER((((NºAsuntos!C9+NºAsuntos!E9)/NºAsuntos!G9)-Datos!BG9)/Datos!BG9),(((NºAsuntos!C9+NºAsuntos!E9)/NºAsuntos!G9)-Datos!BG9)/Datos!BG9," - ")</f>
        <v>-0.20072942369443969</v>
      </c>
    </row>
    <row r="10" spans="1:11">
      <c r="A10" s="413" t="str">
        <f>Datos!A10</f>
        <v>Jdos. Violencia contra la mujer</v>
      </c>
      <c r="B10" s="471">
        <f>IF(ISNUMBER((Datos!I10-Datos!S10)/Datos!S10),(Datos!I10-Datos!S10)/Datos!S10," - ")</f>
        <v>1.40625</v>
      </c>
      <c r="C10" s="472">
        <f>IF(ISNUMBER((Datos!J10-Datos!T10)/Datos!T10),(Datos!J10-Datos!T10)/Datos!T10," - ")</f>
        <v>0.75</v>
      </c>
      <c r="D10" s="472">
        <f>IF(ISNUMBER((Datos!K10-Datos!U10)/Datos!U10),(Datos!K10-Datos!U10)/Datos!U10," - ")</f>
        <v>0.26923076923076922</v>
      </c>
      <c r="E10" s="472">
        <f>IF(ISNUMBER((Datos!L10-Datos!V10)/Datos!V10),(Datos!L10-Datos!V10)/Datos!V10," - ")</f>
        <v>1.5476190476190477</v>
      </c>
      <c r="F10" s="472">
        <f>IF(ISNUMBER((Datos!M10-Datos!W10)/Datos!W10),(Datos!M10-Datos!W10)/Datos!W10," - ")</f>
        <v>0.7</v>
      </c>
      <c r="G10" s="473">
        <f>IF(ISNUMBER((Datos!N10-Datos!X10)/Datos!X10),(Datos!N10-Datos!X10)/Datos!X10," - ")</f>
        <v>-7.6923076923076927E-2</v>
      </c>
      <c r="H10" s="471">
        <f>IF(ISNUMBER(((NºAsuntos!G10/NºAsuntos!E10)-Datos!BD10)/Datos!BD10),((NºAsuntos!G10/NºAsuntos!E10)-Datos!BD10)/Datos!BD10," - ")</f>
        <v>-0.27472527472527469</v>
      </c>
      <c r="I10" s="472">
        <f>IF(ISNUMBER(((NºAsuntos!I10/NºAsuntos!G10)-Datos!BE10)/Datos!BE10),((NºAsuntos!I10/NºAsuntos!G10)-Datos!BE10)/Datos!BE10," - ")</f>
        <v>1.007215007215007</v>
      </c>
      <c r="J10" s="477">
        <f>IF(ISNUMBER((('Resol  Asuntos'!D10/NºAsuntos!G10)-Datos!BF10)/Datos!BF10),(('Resol  Asuntos'!D10/NºAsuntos!G10)-Datos!BF10)/Datos!BF10," - ")</f>
        <v>0.3393939393939393</v>
      </c>
      <c r="K10" s="478">
        <f>IF(ISNUMBER((((NºAsuntos!C10+NºAsuntos!E10)/NºAsuntos!G10)-Datos!BG10)/Datos!BG10),(((NºAsuntos!C10+NºAsuntos!E10)/NºAsuntos!G10)-Datos!BG10)/Datos!BG10," - ")</f>
        <v>0.62210338680926902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6.9494793675279595E-2</v>
      </c>
      <c r="C13" s="1001">
        <f>IF(ISNUMBER(
   IF(J_V="SI",(Datos!J13-Datos!T13)/Datos!T13,(Datos!J13+Datos!Z13-(Datos!T13+Datos!AH13))/(Datos!T13+Datos!AH13))
     ),IF(J_V="SI",(Datos!J13-Datos!T13)/Datos!T13,(Datos!J13+Datos!Z13-(Datos!T13+Datos!AH13))/(Datos!T13+Datos!AH13))," - ")</f>
        <v>2.9749256268593286E-3</v>
      </c>
      <c r="D13" s="1001">
        <f>IF(ISNUMBER(
   IF(J_V="SI",(Datos!K13-Datos!U13)/Datos!U13,(Datos!K13+Datos!AA13-(Datos!U13+Datos!AI13))/(Datos!U13+Datos!AI13))
     ),IF(J_V="SI",(Datos!K13-Datos!U13)/Datos!U13,(Datos!K13+Datos!AA13-(Datos!U13+Datos!AI13))/(Datos!U13+Datos!AI13))," - ")</f>
        <v>0.31905007743933916</v>
      </c>
      <c r="E13" s="1001">
        <f>IF(ISNUMBER(
   IF(J_V="SI",(Datos!L13-Datos!V13)/Datos!V13,(Datos!L13+Datos!AB13-(Datos!V13+Datos!AJ13))/(Datos!V13+Datos!AJ13))
     ),IF(J_V="SI",(Datos!L13-Datos!V13)/Datos!V13,(Datos!L13+Datos!AB13-(Datos!V13+Datos!AJ13))/(Datos!V13+Datos!AJ13))," - ")</f>
        <v>1.6506803479812624E-2</v>
      </c>
      <c r="F13" s="1002">
        <f>IF(ISNUMBER((Datos!M13-Datos!W13)/Datos!W13),(Datos!M13-Datos!W13)/Datos!W13," - ")</f>
        <v>5.8479532163742687E-3</v>
      </c>
      <c r="G13" s="1003">
        <f>IF(ISNUMBER((Datos!N13-Datos!X13)/Datos!X13),(Datos!N13-Datos!X13)/Datos!X13," - ")</f>
        <v>0.45283018867924529</v>
      </c>
      <c r="H13" s="1003">
        <f>IF(ISNUMBER(((NºAsuntos!G13/NºAsuntos!E13)-Datos!BD13)/Datos!BD13),((NºAsuntos!G13/NºAsuntos!E13)-Datos!BD13)/Datos!BD13," - ")</f>
        <v>0.31513764076896811</v>
      </c>
      <c r="I13" s="1003">
        <f>IF(ISNUMBER(((NºAsuntos!I13/NºAsuntos!G13)-Datos!BE13)/Datos!BE13),((NºAsuntos!I13/NºAsuntos!G13)-Datos!BE13)/Datos!BE13," - ")</f>
        <v>-0.22936450945581321</v>
      </c>
      <c r="J13" s="1003">
        <f>IF(ISNUMBER((('Resol  Asuntos'!D13/NºAsuntos!G13)-Datos!BF13)/Datos!BF13),(('Resol  Asuntos'!D13/NºAsuntos!G13)-Datos!BF13)/Datos!BF13," - ")</f>
        <v>-0.53705253650459128</v>
      </c>
      <c r="K13" s="1003">
        <f>IF(ISNUMBER((((NºAsuntos!C13+NºAsuntos!E13)/NºAsuntos!G13)-Datos!BG13)/Datos!BG13),(((NºAsuntos!C13+NºAsuntos!E13)/NºAsuntos!G13)-Datos!BG13)/Datos!BG13," - ")</f>
        <v>-0.19693976287186529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0.33815502183406115</v>
      </c>
      <c r="C15" s="472">
        <f>IF(ISNUMBER(
   IF(D_I="SI",(Datos!J15-Datos!T15)/Datos!T15,(Datos!J15+Datos!AD15-(Datos!T15+Datos!AL15))/(Datos!T15+Datos!AL15))
     ),IF(D_I="SI",(Datos!J15-Datos!T15)/Datos!T15,(Datos!J15+Datos!AD15-(Datos!T15+Datos!AL15))/(Datos!T15+Datos!AL15))," - ")</f>
        <v>0.17151556156968878</v>
      </c>
      <c r="D15" s="472">
        <f>IF(ISNUMBER(
   IF(D_I="SI",(Datos!K15-Datos!U15)/Datos!U15,(Datos!K15+Datos!AE15-(Datos!U15+Datos!AM15))/(Datos!U15+Datos!AM15))
     ),IF(D_I="SI",(Datos!K15-Datos!U15)/Datos!U15,(Datos!K15+Datos!AE15-(Datos!U15+Datos!AM15))/(Datos!U15+Datos!AM15))," - ")</f>
        <v>0.31257208765859285</v>
      </c>
      <c r="E15" s="472">
        <f>IF(ISNUMBER(
   IF(D_I="SI",(Datos!L15-Datos!V15)/Datos!V15,(Datos!L15+Datos!AF15-(Datos!V15+Datos!AN15))/(Datos!V15+Datos!AN15))
     ),IF(D_I="SI",(Datos!L15-Datos!V15)/Datos!V15,(Datos!L15+Datos!AF15-(Datos!V15+Datos!AN15))/(Datos!V15+Datos!AN15))," - ")</f>
        <v>0.19109506618531888</v>
      </c>
      <c r="F15" s="472">
        <f>IF(ISNUMBER((Datos!M15-Datos!W15)/Datos!W15),(Datos!M15-Datos!W15)/Datos!W15," - ")</f>
        <v>0.3128654970760234</v>
      </c>
      <c r="G15" s="473">
        <f>IF(ISNUMBER((Datos!N15-Datos!X15)/Datos!X15),(Datos!N15-Datos!X15)/Datos!X15," - ")</f>
        <v>0.33701366982124081</v>
      </c>
      <c r="H15" s="471">
        <f>IF(ISNUMBER(((NºAsuntos!G15/NºAsuntos!E15)-Datos!BD15)/Datos!BD15),((NºAsuntos!G15/NºAsuntos!E15)-Datos!BD15)/Datos!BD15," - ")</f>
        <v>0.12040516636407746</v>
      </c>
      <c r="I15" s="472">
        <f>IF(ISNUMBER(((NºAsuntos!I15/NºAsuntos!G15)-Datos!BE15)/Datos!BE15),((NºAsuntos!I15/NºAsuntos!G15)-Datos!BE15)/Datos!BE15," - ")</f>
        <v>-9.2548837976562839E-2</v>
      </c>
      <c r="J15" s="477">
        <f>IF(ISNUMBER((('Resol  Asuntos'!D15/NºAsuntos!G15)-Datos!BF15)/Datos!BF15),(('Resol  Asuntos'!D15/NºAsuntos!G15)-Datos!BF15)/Datos!BF15," - ")</f>
        <v>2.2353775475600579E-4</v>
      </c>
      <c r="K15" s="478">
        <f>IF(ISNUMBER((((NºAsuntos!C15+NºAsuntos!E15)/NºAsuntos!G15)-Datos!BG15)/Datos!BG15),(((NºAsuntos!C15+NºAsuntos!E15)/NºAsuntos!G15)-Datos!BG15)/Datos!BG15," - ")</f>
        <v>-3.7198615262903467E-2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-0.125</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-0.25</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-0.40425531914893614</v>
      </c>
      <c r="C17" s="472">
        <f>IF(ISNUMBER(
   IF(D_I="SI",(Datos!J17-Datos!T17)/Datos!T17,(Datos!J17+Datos!AD17-(Datos!T17+Datos!AL17))/(Datos!T17+Datos!AL17))
     ),IF(D_I="SI",(Datos!J17-Datos!T17)/Datos!T17,(Datos!J17+Datos!AD17-(Datos!T17+Datos!AL17))/(Datos!T17+Datos!AL17))," - ")</f>
        <v>0.43848580441640378</v>
      </c>
      <c r="D17" s="472">
        <f>IF(ISNUMBER(
   IF(D_I="SI",(Datos!K17-Datos!U17)/Datos!U17,(Datos!K17+Datos!AE17-(Datos!U17+Datos!AM17))/(Datos!U17+Datos!AM17))
     ),IF(D_I="SI",(Datos!K17-Datos!U17)/Datos!U17,(Datos!K17+Datos!AE17-(Datos!U17+Datos!AM17))/(Datos!U17+Datos!AM17))," - ")</f>
        <v>0.38566552901023893</v>
      </c>
      <c r="E17" s="472">
        <f>IF(ISNUMBER(
   IF(D_I="SI",(Datos!L17-Datos!V17)/Datos!V17,(Datos!L17+Datos!AF17-(Datos!V17+Datos!AN17))/(Datos!V17+Datos!AN17))
     ),IF(D_I="SI",(Datos!L17-Datos!V17)/Datos!V17,(Datos!L17+Datos!AF17-(Datos!V17+Datos!AN17))/(Datos!V17+Datos!AN17))," - ")</f>
        <v>-0.23584905660377359</v>
      </c>
      <c r="F17" s="472">
        <f>IF(ISNUMBER((Datos!M17-Datos!W17)/Datos!W17),(Datos!M17-Datos!W17)/Datos!W17," - ")</f>
        <v>0.62244897959183676</v>
      </c>
      <c r="G17" s="473">
        <f>IF(ISNUMBER((Datos!N17-Datos!X17)/Datos!X17),(Datos!N17-Datos!X17)/Datos!X17," - ")</f>
        <v>0.310126582278481</v>
      </c>
      <c r="H17" s="471">
        <f>IF(ISNUMBER(((NºAsuntos!G17/NºAsuntos!E17)-Datos!BD17)/Datos!BD17),((NºAsuntos!G17/NºAsuntos!E17)-Datos!BD17)/Datos!BD17," - ")</f>
        <v>-3.6719358122268161E-2</v>
      </c>
      <c r="I17" s="472">
        <f>IF(ISNUMBER(((NºAsuntos!I17/NºAsuntos!G17)-Datos!BE17)/Datos!BE17),((NºAsuntos!I17/NºAsuntos!G17)-Datos!BE17)/Datos!BE17," - ")</f>
        <v>-0.44853146203178734</v>
      </c>
      <c r="J17" s="477">
        <f>IF(ISNUMBER((('Resol  Asuntos'!D17/NºAsuntos!G17)-Datos!BF17)/Datos!BF17),(('Resol  Asuntos'!D17/NºAsuntos!G17)-Datos!BF17)/Datos!BF17," - ")</f>
        <v>0.17088066753795128</v>
      </c>
      <c r="K17" s="478">
        <f>IF(ISNUMBER((((NºAsuntos!C17+NºAsuntos!E17)/NºAsuntos!G17)-Datos!BG17)/Datos!BG17),(((NºAsuntos!C17+NºAsuntos!E17)/NºAsuntos!G17)-Datos!BG17)/Datos!BG17," - ")</f>
        <v>-0.18829439594205727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0.30103626943005179</v>
      </c>
      <c r="C18" s="1001">
        <f>IF(ISNUMBER(
   IF(Criterios!B14="SI",(Datos!J18-Datos!T18)/Datos!T18,(Datos!J18+Datos!AD18-(Datos!T18+Datos!AL18))/(Datos!T18+Datos!AL18))
     ),IF(Criterios!B14="SI",(Datos!J18-Datos!T18)/Datos!T18,(Datos!J18+Datos!AD18-(Datos!T18+Datos!AL18))/(Datos!T18+Datos!AL18))," - ")</f>
        <v>0.19737244118545677</v>
      </c>
      <c r="D18" s="1001">
        <f>IF(ISNUMBER(
   IF(Criterios!B14="SI",(Datos!K18-Datos!U18)/Datos!U18,(Datos!K18+Datos!AE18-(Datos!U18+Datos!AM18))/(Datos!U18+Datos!AM18))
     ),IF(Criterios!B14="SI",(Datos!K18-Datos!U18)/Datos!U18,(Datos!K18+Datos!AE18-(Datos!U18+Datos!AM18))/(Datos!U18+Datos!AM18))," - ")</f>
        <v>0.32031789910158948</v>
      </c>
      <c r="E18" s="1001">
        <f>IF(ISNUMBER(
   IF(Criterios!B14="SI",(Datos!L18-Datos!V18)/Datos!V18,(Datos!L18+Datos!AF18-(Datos!V18+Datos!AN18))/(Datos!V18+Datos!AN18))
     ),IF(Criterios!B14="SI",(Datos!L18-Datos!V18)/Datos!V18,(Datos!L18+Datos!AF18-(Datos!V18+Datos!AN18))/(Datos!V18+Datos!AN18))," - ")</f>
        <v>0.1696</v>
      </c>
      <c r="F18" s="1002">
        <f>IF(ISNUMBER((Datos!M18-Datos!W18)/Datos!W18),(Datos!M18-Datos!W18)/Datos!W18," - ")</f>
        <v>0.38181818181818183</v>
      </c>
      <c r="G18" s="1003">
        <f>IF(ISNUMBER((Datos!N18-Datos!X18)/Datos!X18),(Datos!N18-Datos!X18)/Datos!X18," - ")</f>
        <v>0.33543689320388348</v>
      </c>
      <c r="H18" s="1003">
        <f>IF(ISNUMBER(((NºAsuntos!G18/NºAsuntos!E18)-Datos!BD18)/Datos!BD18),((NºAsuntos!G18/NºAsuntos!E18)-Datos!BD18)/Datos!BD18," - ")</f>
        <v>0.10267937835149339</v>
      </c>
      <c r="I18" s="1003">
        <f>IF(ISNUMBER(((NºAsuntos!I18/NºAsuntos!G18)-Datos!BE18)/Datos!BE18),((NºAsuntos!I18/NºAsuntos!G18)-Datos!BE18)/Datos!BE18," - ")</f>
        <v>-0.1141527348861554</v>
      </c>
      <c r="J18" s="1003">
        <f>IF(ISNUMBER((('Resol  Asuntos'!D18/NºAsuntos!G18)-Datos!BF18)/Datos!BF18),(('Resol  Asuntos'!D18/NºAsuntos!G18)-Datos!BF18)/Datos!BF18," - ")</f>
        <v>4.6579905307987016E-2</v>
      </c>
      <c r="K18" s="1003">
        <f>IF(ISNUMBER((((NºAsuntos!C18+NºAsuntos!E18)/NºAsuntos!G18)-Datos!BG18)/Datos!BG18),(((NºAsuntos!C18+NºAsuntos!E18)/NºAsuntos!G18)-Datos!BG18)/Datos!BG18," - ")</f>
        <v>-5.0630314744056312E-2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0.12261515601783061</v>
      </c>
      <c r="C19" s="948">
        <f>IF(ISNUMBER(
   IF(J_V="SI",(Datos!J19-Datos!T19)/Datos!T19,(Datos!J19+Datos!Z19-(Datos!T19+Datos!AH19))/(Datos!T19+Datos!AH19))
     ),IF(J_V="SI",(Datos!J19-Datos!T19)/Datos!T19,(Datos!J19+Datos!Z19-(Datos!T19+Datos!AH19))/(Datos!T19+Datos!AH19))," - ")</f>
        <v>0.11606825453252755</v>
      </c>
      <c r="D19" s="948">
        <f>IF(ISNUMBER(
   IF(J_V="SI",(Datos!K19-Datos!U19)/Datos!U19,(Datos!K19+Datos!AA19-(Datos!U19+Datos!AI19))/(Datos!U19+Datos!AI19))
     ),IF(J_V="SI",(Datos!K19-Datos!U19)/Datos!U19,(Datos!K19+Datos!AA19-(Datos!U19+Datos!AI19))/(Datos!U19+Datos!AI19))," - ")</f>
        <v>0.31980956323742499</v>
      </c>
      <c r="E19" s="948">
        <f>IF(ISNUMBER(
   IF(J_V="SI",(Datos!L19-Datos!V19)/Datos!V19,(Datos!L19+Datos!AB19-(Datos!V19+Datos!AJ19))/(Datos!V19+Datos!AJ19))
     ),IF(J_V="SI",(Datos!L19-Datos!V19)/Datos!V19,(Datos!L19+Datos!AB19-(Datos!V19+Datos!AJ19))/(Datos!V19+Datos!AJ19))," - ")</f>
        <v>5.4084380610412923E-2</v>
      </c>
      <c r="F19" s="949">
        <f>IF(ISNUMBER((Datos!M19-Datos!W19)/Datos!W19),(Datos!M19-Datos!W19)/Datos!W19," - ")</f>
        <v>0.17943336831059811</v>
      </c>
      <c r="G19" s="950">
        <f>IF(ISNUMBER((Datos!N19-Datos!X19)/Datos!X19),(Datos!N19-Datos!X19)/Datos!X19," - ")</f>
        <v>0.36966987620357633</v>
      </c>
      <c r="H19" s="951">
        <f>IF(ISNUMBER((Tasas!B19-Datos!BD19)/Datos!BD19),(Tasas!B19-Datos!BD19)/Datos!BD19," - ")</f>
        <v>0.18255273176839507</v>
      </c>
      <c r="I19" s="952">
        <f>IF(ISNUMBER((Tasas!C19-Datos!BE19)/Datos!BE19),(Tasas!C19-Datos!BE19)/Datos!BE19," - ")</f>
        <v>-0.20133600333611909</v>
      </c>
      <c r="J19" s="953">
        <f>IF(ISNUMBER((Tasas!D19-Datos!BF19)/Datos!BF19),(Tasas!D19-Datos!BF19)/Datos!BF19," - ")</f>
        <v>-0.33724667893706461</v>
      </c>
      <c r="K19" s="953">
        <f>IF(ISNUMBER((Tasas!E19-Datos!BG19)/Datos!BG19),(Tasas!E19-Datos!BG19)/Datos!BG19," - ")</f>
        <v>-0.15065430797095711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CIaLiL60TbWAZYmdSDdNL8GH7PeHEiwpOJQzk5JKYnkxsapVH0eM9MCCYTaIoYdkdhJgugjKLmZlFI+q9zHgw==" saltValue="SzE1s9gpujJ/hJ0lFIR+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ARONA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1.0979538528515456</v>
      </c>
      <c r="C9" s="459">
        <f>IF(ISNUMBER(NºAsuntos!I9/NºAsuntos!G9),NºAsuntos!I9/NºAsuntos!G9," - ")</f>
        <v>5.3782712133227601</v>
      </c>
      <c r="D9" s="460">
        <f>IF(ISNUMBER('Resol  Asuntos'!D9/NºAsuntos!G9),'Resol  Asuntos'!D9/NºAsuntos!G9," - ")</f>
        <v>0.19785884218873909</v>
      </c>
      <c r="E9" s="461">
        <f>IF(ISNUMBER((NºAsuntos!C9+NºAsuntos!E9)/NºAsuntos!G9),(NºAsuntos!C9+NºAsuntos!E9)/NºAsuntos!G9," - ")</f>
        <v>6.3782712133227601</v>
      </c>
      <c r="G9" s="479"/>
    </row>
    <row r="10" spans="1:7">
      <c r="A10" s="413" t="str">
        <f>Datos!A10</f>
        <v>Jdos. Violencia contra la mujer</v>
      </c>
      <c r="B10" s="458">
        <f>IF(ISNUMBER(NºAsuntos!G10/NºAsuntos!E10),NºAsuntos!G10/NºAsuntos!E10," - ")</f>
        <v>0.52380952380952384</v>
      </c>
      <c r="C10" s="459">
        <f>IF(ISNUMBER(NºAsuntos!I10/NºAsuntos!G10),NºAsuntos!I10/NºAsuntos!G10," - ")</f>
        <v>3.2424242424242422</v>
      </c>
      <c r="D10" s="460">
        <f>IF(ISNUMBER('Resol  Asuntos'!D10/NºAsuntos!G10),'Resol  Asuntos'!D10/NºAsuntos!G10," - ")</f>
        <v>0.51515151515151514</v>
      </c>
      <c r="E10" s="461">
        <f>IF(ISNUMBER((NºAsuntos!C10+NºAsuntos!E10)/NºAsuntos!G10),(NºAsuntos!C10+NºAsuntos!E10)/NºAsuntos!G10," - ")</f>
        <v>4.2424242424242422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1.0826271186440677</v>
      </c>
      <c r="C13" s="1005">
        <f>IF(ISNUMBER(NºAsuntos!I13/NºAsuntos!G13),NºAsuntos!I13/NºAsuntos!G13," - ")</f>
        <v>5.3506849315068497</v>
      </c>
      <c r="D13" s="1006">
        <f>IF(ISNUMBER('Resol  Asuntos'!D13/NºAsuntos!G13),'Resol  Asuntos'!D13/NºAsuntos!G13," - ")</f>
        <v>0.20195694716242663</v>
      </c>
      <c r="E13" s="1007">
        <f>IF(ISNUMBER((NºAsuntos!C13+NºAsuntos!E13)/NºAsuntos!G13),(NºAsuntos!C13+NºAsuntos!E13)/NºAsuntos!G13," - ")</f>
        <v>6.3506849315068497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0.98585041871209933</v>
      </c>
      <c r="C15" s="459">
        <f>IF(ISNUMBER(NºAsuntos!I15/NºAsuntos!G15),NºAsuntos!I15/NºAsuntos!G15," - ")</f>
        <v>1.4496192149970708</v>
      </c>
      <c r="D15" s="460">
        <f>IF(ISNUMBER('Resol  Asuntos'!D15/NºAsuntos!G15),'Resol  Asuntos'!D15/NºAsuntos!G15," - ")</f>
        <v>0.13151728178090216</v>
      </c>
      <c r="E15" s="461">
        <f>IF(ISNUMBER((NºAsuntos!C15+NºAsuntos!E15)/NºAsuntos!G15),(NºAsuntos!C15+NºAsuntos!E15)/NºAsuntos!G15," - ")</f>
        <v>2.4504979496192152</v>
      </c>
      <c r="G15" s="479"/>
    </row>
    <row r="16" spans="1:7">
      <c r="A16" s="413" t="str">
        <f>Datos!A16</f>
        <v xml:space="preserve">Jdos. 1ª Instª. e Instr.                        </v>
      </c>
      <c r="B16" s="458" t="str">
        <f>IF(ISNUMBER(NºAsuntos!G16/NºAsuntos!E16),NºAsuntos!G16/NºAsuntos!E16," - ")</f>
        <v xml:space="preserve"> - </v>
      </c>
      <c r="C16" s="459">
        <f>IF(ISNUMBER(NºAsuntos!I16/NºAsuntos!G16),NºAsuntos!I16/NºAsuntos!G16," - ")</f>
        <v>6</v>
      </c>
      <c r="D16" s="460">
        <f>IF(ISNUMBER('Resol  Asuntos'!D16/NºAsuntos!G16),'Resol  Asuntos'!D16/NºAsuntos!G16," - ")</f>
        <v>0</v>
      </c>
      <c r="E16" s="461">
        <f>IF(ISNUMBER((NºAsuntos!C16+NºAsuntos!E16)/NºAsuntos!G16),(NºAsuntos!C16+NºAsuntos!E16)/NºAsuntos!G16," - ")</f>
        <v>7</v>
      </c>
      <c r="G16" s="479"/>
    </row>
    <row r="17" spans="1:7" ht="13.5" thickBot="1">
      <c r="A17" s="413" t="str">
        <f>Datos!A17</f>
        <v>Jdos. Violencia contra la mujer</v>
      </c>
      <c r="B17" s="458">
        <f>IF(ISNUMBER(NºAsuntos!G17/NºAsuntos!E17),NºAsuntos!G17/NºAsuntos!E17," - ")</f>
        <v>0.89035087719298245</v>
      </c>
      <c r="C17" s="459">
        <f>IF(ISNUMBER(NºAsuntos!I17/NºAsuntos!G17),NºAsuntos!I17/NºAsuntos!G17," - ")</f>
        <v>0.39901477832512317</v>
      </c>
      <c r="D17" s="460">
        <f>IF(ISNUMBER('Resol  Asuntos'!D17/NºAsuntos!G17),'Resol  Asuntos'!D17/NºAsuntos!G17," - ")</f>
        <v>0.39162561576354682</v>
      </c>
      <c r="E17" s="461">
        <f>IF(ISNUMBER((NºAsuntos!C17+NºAsuntos!E17)/NºAsuntos!G17),(NºAsuntos!C17+NºAsuntos!E17)/NºAsuntos!G17," - ")</f>
        <v>1.3990147783251232</v>
      </c>
      <c r="G17" s="479"/>
    </row>
    <row r="18" spans="1:7" ht="14.25" thickTop="1" thickBot="1">
      <c r="A18" s="994" t="str">
        <f>Datos!A18</f>
        <v>TOTAL</v>
      </c>
      <c r="B18" s="1004">
        <f>IF(ISNUMBER(NºAsuntos!G18/NºAsuntos!E18),NºAsuntos!G18/NºAsuntos!E18," - ")</f>
        <v>0.97499362082163821</v>
      </c>
      <c r="C18" s="1005">
        <f>IF(ISNUMBER(NºAsuntos!I18/NºAsuntos!G18),NºAsuntos!I18/NºAsuntos!G18," - ")</f>
        <v>1.3391782255953939</v>
      </c>
      <c r="D18" s="1008">
        <f>IF(ISNUMBER('Resol  Asuntos'!D18/NºAsuntos!G18),'Resol  Asuntos'!D18/NºAsuntos!G18," - ")</f>
        <v>0.15912064904475268</v>
      </c>
      <c r="E18" s="1007">
        <f>IF(ISNUMBER((NºAsuntos!C18+NºAsuntos!E18)/NºAsuntos!G18),(NºAsuntos!C18+NºAsuntos!E18)/NºAsuntos!G18," - ")</f>
        <v>2.3399633603768648</v>
      </c>
      <c r="G18" s="479"/>
    </row>
    <row r="19" spans="1:7" ht="15.75" customHeight="1" thickTop="1" thickBot="1">
      <c r="A19" s="939" t="str">
        <f>Datos!A19</f>
        <v>TOTAL JURISDICCIONES</v>
      </c>
      <c r="B19" s="954">
        <f>IF(ISNUMBER(NºAsuntos!G19/NºAsuntos!E19),NºAsuntos!G19/NºAsuntos!E19," - ")</f>
        <v>1.0154483197961459</v>
      </c>
      <c r="C19" s="955">
        <f>IF(ISNUMBER(NºAsuntos!I19/NºAsuntos!G19),NºAsuntos!I19/NºAsuntos!G19," - ")</f>
        <v>2.9466750313676284</v>
      </c>
      <c r="D19" s="956">
        <f>IF(ISNUMBER('Resol  Asuntos'!D19/NºAsuntos!G19),'Resol  Asuntos'!D19/NºAsuntos!G19," - ")</f>
        <v>0.17628607277289837</v>
      </c>
      <c r="E19" s="957">
        <f>IF(ISNUMBER((NºAsuntos!C19+NºAsuntos!E19)/NºAsuntos!G19),(NºAsuntos!C19+NºAsuntos!E19)/NºAsuntos!G19," - ")</f>
        <v>3.9471455457967379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Ds5htFLESM7CfxBJhcPx3zbQiOo5YztWBZDIO5L3rrZCtHcIdo4UgCN1qMiJaulTl9n4JmNLwQBGvtg9ySKaQ==" saltValue="S9ZraKKXDNfGPOQrp1kA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ARONA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488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173</v>
      </c>
      <c r="Y9" s="343">
        <f>SUM(W9:X9)</f>
        <v>173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12005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499</v>
      </c>
      <c r="AJ9" s="233" t="str">
        <f>IF(ISNUMBER(Datos!BW9),Datos!BW9," - ")</f>
        <v xml:space="preserve"> - </v>
      </c>
      <c r="AK9" s="232" t="str">
        <f>IF(ISNUMBER(Datos!BX9),Datos!BX9," - ")</f>
        <v xml:space="preserve"> - </v>
      </c>
      <c r="AL9" s="247">
        <f>IF(ISNUMBER(NºAsuntos!G9/NºAsuntos!E9),NºAsuntos!G9/NºAsuntos!E9," - ")</f>
        <v>1.0979538528515456</v>
      </c>
      <c r="AM9" s="264">
        <f>IF(ISNUMBER(((NºAsuntos!I9/NºAsuntos!G9)*11)/factor_trimestre),((NºAsuntos!I9/NºAsuntos!G9)*11)/factor_trimestre," - ")</f>
        <v>10.75654242664552</v>
      </c>
      <c r="AN9" s="248">
        <f>IF(ISNUMBER('Resol  Asuntos'!D9/NºAsuntos!G9),'Resol  Asuntos'!D9/NºAsuntos!G9," - ")</f>
        <v>0.19785884218873909</v>
      </c>
      <c r="AO9" s="249">
        <f>IF(ISNUMBER((NºAsuntos!C9+NºAsuntos!E9)/NºAsuntos!G9),(NºAsuntos!C9+NºAsuntos!E9)/NºAsuntos!G9," - ")</f>
        <v>6.3782712133227601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77</v>
      </c>
      <c r="G10" s="342">
        <f>IF(ISNUMBER(Datos!I10),Datos!I10," - ")</f>
        <v>77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33</v>
      </c>
      <c r="X10" s="230">
        <f>IF(ISNUMBER(Datos!Q10),Datos!Q10," - ")</f>
        <v>9</v>
      </c>
      <c r="Y10" s="343">
        <f t="shared" ref="Y10:Y12" si="0">SUM(W10:X10)</f>
        <v>42</v>
      </c>
      <c r="Z10" s="344" t="str">
        <f>IF(ISNUMBER(Datos!CC10),Datos!CC10," - ")</f>
        <v xml:space="preserve"> - </v>
      </c>
      <c r="AA10" s="341">
        <f>IF(ISNUMBER(Datos!L10),Datos!L10,"-")</f>
        <v>107</v>
      </c>
      <c r="AB10" s="343">
        <f>IF(ISNUMBER(Datos!R10),Datos!R10," - ")</f>
        <v>58</v>
      </c>
      <c r="AC10" s="343">
        <f t="shared" ref="AC10:AC12" si="1">IF(ISNUMBER(AA10+AB10),AA10+AB10," - ")</f>
        <v>165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0.52380952380952384</v>
      </c>
      <c r="AM10" s="264">
        <f>IF(ISNUMBER(((NºAsuntos!I10/NºAsuntos!G10)*11)/factor_trimestre),((NºAsuntos!I10/NºAsuntos!G10)*11)/factor_trimestre," - ")</f>
        <v>6.4848484848484844</v>
      </c>
      <c r="AN10" s="248">
        <f>IF(ISNUMBER('Resol  Asuntos'!D10/NºAsuntos!G10),'Resol  Asuntos'!D10/NºAsuntos!G10," - ")</f>
        <v>0.51515151515151514</v>
      </c>
      <c r="AO10" s="249">
        <f>IF(ISNUMBER((NºAsuntos!C10+NºAsuntos!E10)/NºAsuntos!G10),(NºAsuntos!C10+NºAsuntos!E10)/NºAsuntos!G10," - ")</f>
        <v>4.2424242424242422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77</v>
      </c>
      <c r="G13" s="1012">
        <f t="shared" si="3"/>
        <v>77</v>
      </c>
      <c r="H13" s="1011">
        <f t="shared" si="3"/>
        <v>0</v>
      </c>
      <c r="I13" s="1013">
        <f t="shared" si="3"/>
        <v>0</v>
      </c>
      <c r="J13" s="1013">
        <f t="shared" si="3"/>
        <v>0</v>
      </c>
      <c r="K13" s="1013">
        <f t="shared" si="3"/>
        <v>0</v>
      </c>
      <c r="L13" s="1013">
        <f t="shared" si="3"/>
        <v>501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33</v>
      </c>
      <c r="X13" s="1013">
        <f t="shared" si="4"/>
        <v>182</v>
      </c>
      <c r="Y13" s="1014">
        <f t="shared" si="4"/>
        <v>215</v>
      </c>
      <c r="Z13" s="1014">
        <f t="shared" si="4"/>
        <v>0</v>
      </c>
      <c r="AA13" s="1014">
        <f t="shared" si="4"/>
        <v>107</v>
      </c>
      <c r="AB13" s="1014">
        <f t="shared" si="4"/>
        <v>12063</v>
      </c>
      <c r="AC13" s="1014">
        <f t="shared" si="4"/>
        <v>165</v>
      </c>
      <c r="AD13" s="1014">
        <f t="shared" si="4"/>
        <v>0</v>
      </c>
      <c r="AE13" s="1018">
        <f t="shared" si="4"/>
        <v>0</v>
      </c>
      <c r="AF13" s="1011">
        <f t="shared" si="4"/>
        <v>0</v>
      </c>
      <c r="AG13" s="1019">
        <f t="shared" si="4"/>
        <v>0</v>
      </c>
      <c r="AH13" s="1016">
        <f t="shared" si="4"/>
        <v>0</v>
      </c>
      <c r="AI13" s="1011">
        <f t="shared" si="4"/>
        <v>516</v>
      </c>
      <c r="AJ13" s="1013">
        <f t="shared" si="4"/>
        <v>0</v>
      </c>
      <c r="AK13" s="1016">
        <f>SUBTOTAL(9,AK9:AK12)</f>
        <v>0</v>
      </c>
      <c r="AL13" s="1020">
        <f>IF(ISNUMBER(NºAsuntos!G13/NºAsuntos!E13),NºAsuntos!G13/NºAsuntos!E13," - ")</f>
        <v>1.0826271186440677</v>
      </c>
      <c r="AM13" s="1020">
        <f>IF(ISNUMBER(((NºAsuntos!I13/NºAsuntos!G13)*11)/factor_trimestre),((NºAsuntos!I13/NºAsuntos!G13)*11)/factor_trimestre," - ")</f>
        <v>10.701369863013699</v>
      </c>
      <c r="AN13" s="1021">
        <f>IF(ISNUMBER('Resol  Asuntos'!D13/NºAsuntos!G13),'Resol  Asuntos'!D13/NºAsuntos!G13," - ")</f>
        <v>0.20195694716242663</v>
      </c>
      <c r="AO13" s="1022">
        <f>IF(ISNUMBER((NºAsuntos!C13+NºAsuntos!E13)/NºAsuntos!G13),(NºAsuntos!C13+NºAsuntos!E13)/NºAsuntos!G13," - ")</f>
        <v>6.3506849315068497</v>
      </c>
      <c r="AP13" s="1023" t="str">
        <f t="shared" si="2"/>
        <v xml:space="preserve"> - </v>
      </c>
      <c r="AQ13" s="1023">
        <f>IF(ISNUMBER((H13-W13+K13)/(F13)),(H13-W13+K13)/(F13)," - ")</f>
        <v>-0.42857142857142855</v>
      </c>
      <c r="AR13" s="1024">
        <f>IF(ISNUMBER((Datos!P13-Datos!Q13)/(Datos!R13-Datos!P13+Datos!Q13)),(Datos!P13-Datos!Q13)/(Datos!R13-Datos!P13+Datos!Q13)," - ")</f>
        <v>2.7162806539509535E-2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4900</v>
      </c>
      <c r="G15" s="342">
        <f>IF(ISNUMBER(IF(D_I="SI",Datos!I15,Datos!I15+Datos!AC15)),IF(D_I="SI",Datos!I15,Datos!I15+Datos!AC15)," - ")</f>
        <v>4903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3414</v>
      </c>
      <c r="X15" s="230">
        <f>IF(ISNUMBER(Datos!Q15),Datos!Q15," - ")</f>
        <v>51</v>
      </c>
      <c r="Y15" s="343">
        <f>SUM(W15)</f>
        <v>3414</v>
      </c>
      <c r="Z15" s="344" t="str">
        <f>IF(ISNUMBER(Datos!CC15),Datos!CC15," - ")</f>
        <v xml:space="preserve"> - </v>
      </c>
      <c r="AA15" s="341">
        <f>IF(ISNUMBER(IF(D_I="SI",Datos!L15,Datos!L15+Datos!AF15)),IF(D_I="SI",Datos!L15,Datos!L15+Datos!AF15)," - ")</f>
        <v>4949</v>
      </c>
      <c r="AB15" s="343">
        <f>IF(ISNUMBER(Datos!R15),Datos!R15," - ")</f>
        <v>388</v>
      </c>
      <c r="AC15" s="343">
        <f t="shared" ref="AC15:AC17" si="6">IF(ISNUMBER(AA15+AB15),AA15+AB15," - ")</f>
        <v>5337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449</v>
      </c>
      <c r="AJ15" s="235" t="str">
        <f>IF(ISNUMBER(Datos!BW15),Datos!BW15," - ")</f>
        <v xml:space="preserve"> - </v>
      </c>
      <c r="AK15" s="236" t="str">
        <f>IF(ISNUMBER(Datos!BX15),Datos!BX15," - ")</f>
        <v xml:space="preserve"> - </v>
      </c>
      <c r="AL15" s="247">
        <f>IF(ISNUMBER(NºAsuntos!G15/NºAsuntos!E15),NºAsuntos!G15/NºAsuntos!E15," - ")</f>
        <v>0.98585041871209933</v>
      </c>
      <c r="AM15" s="264">
        <f>IF(ISNUMBER(((NºAsuntos!I15/NºAsuntos!G15)*11)/factor_trimestre),((NºAsuntos!I15/NºAsuntos!G15)*11)/factor_trimestre," - ")</f>
        <v>2.8992384299941416</v>
      </c>
      <c r="AN15" s="248">
        <f>IF(ISNUMBER('Resol  Asuntos'!D15/NºAsuntos!G15),'Resol  Asuntos'!D15/NºAsuntos!G15," - ")</f>
        <v>0.13151728178090216</v>
      </c>
      <c r="AO15" s="249">
        <f>IF(ISNUMBER((NºAsuntos!C15+NºAsuntos!E15)/NºAsuntos!G15),(NºAsuntos!C15+NºAsuntos!E15)/NºAsuntos!G15," - ")</f>
        <v>2.4504979496192152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7</v>
      </c>
      <c r="G16" s="342">
        <f>IF(ISNUMBER(IF(D_I="SI",Datos!I16,Datos!I16+Datos!AC16)),IF(D_I="SI",Datos!I16,Datos!I16+Datos!AC16)," - ")</f>
        <v>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v>
      </c>
      <c r="X16" s="230">
        <f>IF(ISNUMBER(Datos!Q16),Datos!Q16," - ")</f>
        <v>0</v>
      </c>
      <c r="Y16" s="343">
        <f t="shared" ref="Y16:Y17" si="7">SUM(W16:X16)</f>
        <v>1</v>
      </c>
      <c r="Z16" s="344" t="str">
        <f>IF(ISNUMBER(Datos!CC16),Datos!CC16," - ")</f>
        <v xml:space="preserve"> - </v>
      </c>
      <c r="AA16" s="341">
        <f>IF(ISNUMBER(IF(D_I="SI",Datos!L16,Datos!L16+Datos!AF16)),IF(D_I="SI",Datos!L16,Datos!L16+Datos!AF16)," - ")</f>
        <v>6</v>
      </c>
      <c r="AB16" s="343">
        <f>IF(ISNUMBER(Datos!R16),Datos!R16," - ")</f>
        <v>0</v>
      </c>
      <c r="AC16" s="343">
        <f t="shared" si="6"/>
        <v>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f>IF(ISNUMBER(((NºAsuntos!I16/NºAsuntos!G16)*11)/factor_trimestre),((NºAsuntos!I16/NºAsuntos!G16)*11)/factor_trimestre," - ")</f>
        <v>12</v>
      </c>
      <c r="AN16" s="248">
        <f>IF(ISNUMBER('Resol  Asuntos'!D16/NºAsuntos!G16),'Resol  Asuntos'!D16/NºAsuntos!G16," - ")</f>
        <v>0</v>
      </c>
      <c r="AO16" s="249">
        <f>IF(ISNUMBER((NºAsuntos!C16+NºAsuntos!E16)/NºAsuntos!G16),(NºAsuntos!C16+NºAsuntos!E16)/NºAsuntos!G16," - ")</f>
        <v>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406</v>
      </c>
      <c r="X17" s="230">
        <f>IF(ISNUMBER(Datos!Q17),Datos!Q17," - ")</f>
        <v>8</v>
      </c>
      <c r="Y17" s="343">
        <f t="shared" si="7"/>
        <v>414</v>
      </c>
      <c r="Z17" s="344" t="str">
        <f>IF(ISNUMBER(Datos!CC17),Datos!CC17," - ")</f>
        <v xml:space="preserve"> - </v>
      </c>
      <c r="AA17" s="341">
        <f>IF(ISNUMBER(Datos!L17),Datos!L17,"-")</f>
        <v>162</v>
      </c>
      <c r="AB17" s="343">
        <f>IF(ISNUMBER(Datos!R17),Datos!R17," - ")</f>
        <v>12</v>
      </c>
      <c r="AC17" s="343">
        <f t="shared" si="6"/>
        <v>174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159</v>
      </c>
      <c r="AJ17" s="235" t="str">
        <f>IF(ISNUMBER(Datos!BW17),Datos!BW17," - ")</f>
        <v xml:space="preserve"> - </v>
      </c>
      <c r="AK17" s="236" t="str">
        <f>IF(ISNUMBER(Datos!BX17),Datos!BX17," - ")</f>
        <v xml:space="preserve"> - </v>
      </c>
      <c r="AL17" s="247">
        <f>IF(ISNUMBER(NºAsuntos!G17/NºAsuntos!E17),NºAsuntos!G17/NºAsuntos!E17," - ")</f>
        <v>0.89035087719298245</v>
      </c>
      <c r="AM17" s="264">
        <f>IF(ISNUMBER(((NºAsuntos!I17/NºAsuntos!G17)*11)/factor_trimestre),((NºAsuntos!I17/NºAsuntos!G17)*11)/factor_trimestre," - ")</f>
        <v>0.79802955665024633</v>
      </c>
      <c r="AN17" s="248">
        <f>IF(ISNUMBER('Resol  Asuntos'!D17/NºAsuntos!G17),'Resol  Asuntos'!D17/NºAsuntos!G17," - ")</f>
        <v>0.39162561576354682</v>
      </c>
      <c r="AO17" s="249">
        <f>IF(ISNUMBER((NºAsuntos!C17+NºAsuntos!E17)/NºAsuntos!G17),(NºAsuntos!C17+NºAsuntos!E17)/NºAsuntos!G17," - ")</f>
        <v>1.3990147783251232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4907</v>
      </c>
      <c r="G18" s="1012">
        <f>SUBTOTAL(9,G15:G17)</f>
        <v>5022</v>
      </c>
      <c r="H18" s="1011">
        <f t="shared" ref="H18:O18" si="10">SUBTOTAL(9,H14:H17)</f>
        <v>0</v>
      </c>
      <c r="I18" s="1013">
        <f t="shared" si="10"/>
        <v>0</v>
      </c>
      <c r="J18" s="1013">
        <f t="shared" si="10"/>
        <v>0</v>
      </c>
      <c r="K18" s="1013">
        <f t="shared" si="10"/>
        <v>0</v>
      </c>
      <c r="L18" s="1013">
        <f t="shared" si="10"/>
        <v>95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3821</v>
      </c>
      <c r="X18" s="1013">
        <f t="shared" si="11"/>
        <v>59</v>
      </c>
      <c r="Y18" s="1014">
        <f t="shared" si="11"/>
        <v>3829</v>
      </c>
      <c r="Z18" s="1014">
        <f t="shared" si="11"/>
        <v>0</v>
      </c>
      <c r="AA18" s="1014">
        <f t="shared" si="11"/>
        <v>5117</v>
      </c>
      <c r="AB18" s="1014">
        <f t="shared" si="11"/>
        <v>400</v>
      </c>
      <c r="AC18" s="1014">
        <f t="shared" si="11"/>
        <v>5517</v>
      </c>
      <c r="AD18" s="1014">
        <f t="shared" si="11"/>
        <v>0</v>
      </c>
      <c r="AE18" s="1018">
        <f t="shared" si="11"/>
        <v>0</v>
      </c>
      <c r="AF18" s="1011">
        <f t="shared" si="11"/>
        <v>0</v>
      </c>
      <c r="AG18" s="1019">
        <f t="shared" si="11"/>
        <v>0</v>
      </c>
      <c r="AH18" s="1016">
        <f t="shared" si="11"/>
        <v>0</v>
      </c>
      <c r="AI18" s="1011">
        <f t="shared" si="11"/>
        <v>608</v>
      </c>
      <c r="AJ18" s="1013">
        <f t="shared" si="11"/>
        <v>0</v>
      </c>
      <c r="AK18" s="1016">
        <f t="shared" si="11"/>
        <v>0</v>
      </c>
      <c r="AL18" s="1020">
        <f>IF(ISNUMBER(NºAsuntos!G18/NºAsuntos!E18),NºAsuntos!G18/NºAsuntos!E18," - ")</f>
        <v>0.97499362082163821</v>
      </c>
      <c r="AM18" s="1020">
        <f>IF(ISNUMBER(((NºAsuntos!I18/NºAsuntos!G18)*11)/factor_trimestre),((NºAsuntos!I18/NºAsuntos!G18)*11)/factor_trimestre," - ")</f>
        <v>2.6783564511907878</v>
      </c>
      <c r="AN18" s="1021">
        <f>IF(ISNUMBER('Resol  Asuntos'!D18/NºAsuntos!G18),'Resol  Asuntos'!D18/NºAsuntos!G18," - ")</f>
        <v>0.15912064904475268</v>
      </c>
      <c r="AO18" s="1022">
        <f>IF(ISNUMBER((NºAsuntos!C18+NºAsuntos!E18)/NºAsuntos!G18),(NºAsuntos!C18+NºAsuntos!E18)/NºAsuntos!G18," - ")</f>
        <v>2.3399633603768648</v>
      </c>
      <c r="AP18" s="1023" t="str">
        <f t="shared" si="2"/>
        <v xml:space="preserve"> - </v>
      </c>
      <c r="AQ18" s="1023">
        <f>IF(ISNUMBER((H18-W18+K18)/(F18)),(H18-W18+K18)/(F18)," - ")</f>
        <v>-0.77868351334827801</v>
      </c>
      <c r="AR18" s="1024">
        <f>IF(ISNUMBER((Datos!P18-Datos!Q18)/(Datos!R18-Datos!P18+Datos!Q18)),(Datos!P18-Datos!Q18)/(Datos!R18-Datos!P18+Datos!Q18)," - ")</f>
        <v>9.8901098901098897E-2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4984</v>
      </c>
      <c r="G19" s="967">
        <f t="shared" si="13"/>
        <v>5099</v>
      </c>
      <c r="H19" s="966">
        <f t="shared" si="13"/>
        <v>0</v>
      </c>
      <c r="I19" s="968">
        <f t="shared" si="13"/>
        <v>0</v>
      </c>
      <c r="J19" s="968">
        <f t="shared" si="13"/>
        <v>0</v>
      </c>
      <c r="K19" s="1027">
        <f t="shared" si="13"/>
        <v>0</v>
      </c>
      <c r="L19" s="968">
        <f t="shared" si="13"/>
        <v>596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3854</v>
      </c>
      <c r="X19" s="967">
        <f t="shared" si="14"/>
        <v>241</v>
      </c>
      <c r="Y19" s="974">
        <f t="shared" si="14"/>
        <v>4044</v>
      </c>
      <c r="Z19" s="974">
        <f t="shared" si="14"/>
        <v>0</v>
      </c>
      <c r="AA19" s="974">
        <f t="shared" si="14"/>
        <v>5224</v>
      </c>
      <c r="AB19" s="974">
        <f t="shared" si="14"/>
        <v>12463</v>
      </c>
      <c r="AC19" s="974">
        <f t="shared" si="14"/>
        <v>5682</v>
      </c>
      <c r="AD19" s="974">
        <f t="shared" si="14"/>
        <v>0</v>
      </c>
      <c r="AE19" s="976">
        <f t="shared" si="14"/>
        <v>0</v>
      </c>
      <c r="AF19" s="977">
        <f t="shared" si="14"/>
        <v>0</v>
      </c>
      <c r="AG19" s="978">
        <f t="shared" si="14"/>
        <v>0</v>
      </c>
      <c r="AH19" s="976">
        <f t="shared" si="14"/>
        <v>0</v>
      </c>
      <c r="AI19" s="966">
        <f t="shared" si="14"/>
        <v>1124</v>
      </c>
      <c r="AJ19" s="966">
        <f t="shared" si="14"/>
        <v>0</v>
      </c>
      <c r="AK19" s="976">
        <f t="shared" si="14"/>
        <v>0</v>
      </c>
      <c r="AL19" s="1030">
        <f>IF(ISNUMBER(NºAsuntos!G19/NºAsuntos!E19),NºAsuntos!G19/NºAsuntos!E19," - ")</f>
        <v>1.0154483197961459</v>
      </c>
      <c r="AM19" s="1031">
        <f>IF(ISNUMBER(((NºAsuntos!I19/NºAsuntos!G19)*11)/factor_trimestre),((NºAsuntos!I19/NºAsuntos!G19)*11)/factor_trimestre," - ")</f>
        <v>5.8933500627352569</v>
      </c>
      <c r="AN19" s="1031">
        <f>IF(ISNUMBER('Resol  Asuntos'!D19/NºAsuntos!G19),'Resol  Asuntos'!D19/NºAsuntos!G19," - ")</f>
        <v>0.17628607277289837</v>
      </c>
      <c r="AO19" s="1032">
        <f>IF(ISNUMBER((NºAsuntos!C19+NºAsuntos!E19)/NºAsuntos!G19),(NºAsuntos!C19+NºAsuntos!E19)/NºAsuntos!G19," - ")</f>
        <v>3.9471455457967379</v>
      </c>
      <c r="AP19" s="1033" t="str">
        <f t="shared" si="2"/>
        <v xml:space="preserve"> - </v>
      </c>
      <c r="AQ19" s="1034">
        <f>IF(OR(ISNUMBER(FIND("01",Criterios!A8,1)),ISNUMBER(FIND("02",Criterios!A8,1)),ISNUMBER(FIND("03",Criterios!A8,1)),ISNUMBER(FIND("04",Criterios!A8,1))),(I19-W19+K19)/(F19-K19),(H19-W19+K19)/(F19-K19))</f>
        <v>-0.7732744783306581</v>
      </c>
      <c r="AR19" s="1035">
        <f>IF(ISNUMBER((Datos!P19-Datos!Q19)/(Datos!R19-Datos!P19+Datos!Q19)),(Datos!P19-Datos!Q19)/(Datos!R19-Datos!P19+Datos!Q19)," - ")</f>
        <v>2.9319458209448299E-2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1699.6666666666667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2.8284271247461903</v>
      </c>
      <c r="F21" s="256">
        <f>IF(ISNUMBER(STDEV(F8:F18)),STDEV(F8:F18),"-")</f>
        <v>2656.5179841288482</v>
      </c>
      <c r="G21" s="257">
        <f>IF(ISNUMBER(STDEV(G8:G18)),STDEV(G8:G18),"-")</f>
        <v>2527.890161115919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1817.7041196703788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255.00420164605691</v>
      </c>
      <c r="AJ21" s="256">
        <f t="shared" si="18"/>
        <v>0</v>
      </c>
      <c r="AK21" s="258">
        <f t="shared" si="18"/>
        <v>0</v>
      </c>
      <c r="AL21" s="253">
        <f t="shared" si="18"/>
        <v>0.21123950376503717</v>
      </c>
      <c r="AM21" s="254">
        <f t="shared" si="18"/>
        <v>4.5827052193622793</v>
      </c>
      <c r="AN21" s="254">
        <f t="shared" si="18"/>
        <v>0.17168436555605163</v>
      </c>
      <c r="AO21" s="255">
        <f t="shared" si="18"/>
        <v>2.2911213607734391</v>
      </c>
      <c r="AP21" s="295" t="str">
        <f t="shared" si="18"/>
        <v>-</v>
      </c>
      <c r="AQ21" s="296">
        <f t="shared" si="18"/>
        <v>0.24756662932106979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rNCtdSUB7J5TSR1QgS36oMhUg2vPM8B3lYrmMRPqvAdIG5GiG80TBxkDPzypxTtIrDLNX6nfPmn1g5jwpfcXQ==" saltValue="TWQOIclifZ8ItKauCvV2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ARONA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-7.9522862823061622E-3</v>
      </c>
      <c r="I9" s="359">
        <f>IF(ISNUMBER((Tasas!C9-Datos!BE9)/Datos!BE9),(Tasas!C9-Datos!BE9)/Datos!BE9," - ")</f>
        <v>-0.23339477223392302</v>
      </c>
      <c r="J9" s="358">
        <f>IF(ISNUMBER((Tasas!D9-Datos!BF9)/Datos!BF9),(Tasas!D9-Datos!BF9)/Datos!BF9," - ")</f>
        <v>-0.5471757515896043</v>
      </c>
      <c r="K9" s="360">
        <f>IF(ISNUMBER((Tasas!E9-Datos!BG9)/Datos!BG9),(Tasas!E9-Datos!BG9)/Datos!BG9," - ")</f>
        <v>-0.20072942369443969</v>
      </c>
      <c r="M9" t="e">
        <f>IF(Monitorios="SI",Datos!CE9,0)</f>
        <v>#REF!</v>
      </c>
      <c r="N9" t="e">
        <f>IF(Monitorios="SI",Datos!CF9,0)</f>
        <v>#REF!</v>
      </c>
      <c r="O9" t="e">
        <f>IF(Monitorios="SI",Datos!CG9,0)</f>
        <v>#REF!</v>
      </c>
      <c r="P9" t="e">
        <f>IF(Monitorios="SI",Datos!CH9,0)</f>
        <v>#REF!</v>
      </c>
      <c r="Q9">
        <f>IF(J_V="SI",0,Datos!AG9)</f>
        <v>322</v>
      </c>
      <c r="R9">
        <f>IF(J_V="SI",0,Datos!AH9)</f>
        <v>106</v>
      </c>
      <c r="S9">
        <f>IF(J_V="SI",0,Datos!AI9)</f>
        <v>78</v>
      </c>
      <c r="T9">
        <f>IF(J_V="SI",0,Datos!AJ9)</f>
        <v>350</v>
      </c>
    </row>
    <row r="10" spans="2:20" ht="14.25">
      <c r="B10" s="279" t="s">
        <v>249</v>
      </c>
      <c r="C10" s="7" t="str">
        <f>Datos!A10</f>
        <v>Jdos. Violencia contra la mujer</v>
      </c>
      <c r="D10" s="361">
        <f>IF(ISNUMBER((Datos!I10-Datos!S10)/Datos!S10),(Datos!I10-Datos!S10)/Datos!S10," - ")</f>
        <v>1.40625</v>
      </c>
      <c r="E10" s="357">
        <f>IF(ISNUMBER((Datos!J10-Datos!T10)/Datos!T10),(Datos!J10-Datos!T10)/Datos!T10," - ")</f>
        <v>0.75</v>
      </c>
      <c r="F10" s="357">
        <f>IF(ISNUMBER((Datos!K10-Datos!U10)/Datos!U10),(Datos!K10-Datos!U10)/Datos!U10," - ")</f>
        <v>0.26923076923076922</v>
      </c>
      <c r="G10" s="358">
        <f>IF(ISNUMBER((Datos!L10-Datos!V10)/Datos!V10),(Datos!L10-Datos!V10)/Datos!V10," - ")</f>
        <v>1.5476190476190477</v>
      </c>
      <c r="H10" s="234">
        <f>IF(ISNUMBER((Datos!M10-Datos!W10)/Datos!W10),(Datos!M10-Datos!W10)/Datos!W10," - ")</f>
        <v>0.7</v>
      </c>
      <c r="I10" s="359">
        <f>IF(ISNUMBER((Tasas!C10-Datos!BE10)/Datos!BE10),(Tasas!C10-Datos!BE10)/Datos!BE10," - ")</f>
        <v>1.007215007215007</v>
      </c>
      <c r="J10" s="358">
        <f>IF(ISNUMBER((Tasas!D10-Datos!BF10)/Datos!BF10),(Tasas!D10-Datos!BF10)/Datos!BF10," - ")</f>
        <v>0.3393939393939393</v>
      </c>
      <c r="K10" s="360">
        <f>IF(ISNUMBER((Tasas!E10-Datos!BG10)/Datos!BG10),(Tasas!E10-Datos!BG10)/Datos!BG10," - ")</f>
        <v>0.62210338680926902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5.8479532163742687E-3</v>
      </c>
      <c r="I13" s="366">
        <f>IF(ISNUMBER((Tasas!C13-Datos!BE13)/Datos!BE13),(Tasas!C13-Datos!BE13)/Datos!BE13," - ")</f>
        <v>-0.22936450945581321</v>
      </c>
      <c r="J13" s="364">
        <f>IF(ISNUMBER((Tasas!D13-Datos!BF13)/Datos!BF13),(Tasas!D13-Datos!BF13)/Datos!BF13," - ")</f>
        <v>-0.53705253650459128</v>
      </c>
      <c r="K13" s="367">
        <f>IF(ISNUMBER((Tasas!E13-Datos!BG13)/Datos!BG13),(Tasas!E13-Datos!BG13)/Datos!BG13," - ")</f>
        <v>-0.19693976287186529</v>
      </c>
      <c r="M13" t="e">
        <f>IF(Monitorios="SI",Datos!CE13,0)</f>
        <v>#REF!</v>
      </c>
      <c r="N13" t="e">
        <f>IF(Monitorios="SI",Datos!CF13,0)</f>
        <v>#REF!</v>
      </c>
      <c r="O13" t="e">
        <f>IF(Monitorios="SI",Datos!CG13,0)</f>
        <v>#REF!</v>
      </c>
      <c r="P13" t="e">
        <f>IF(Monitorios="SI",Datos!CH13,0)</f>
        <v>#REF!</v>
      </c>
      <c r="Q13">
        <f>IF(J_V="SI",0,Datos!AG13)</f>
        <v>322</v>
      </c>
      <c r="R13">
        <f>IF(J_V="SI",0,Datos!AH13)</f>
        <v>106</v>
      </c>
      <c r="S13">
        <f>IF(J_V="SI",0,Datos!AI13)</f>
        <v>78</v>
      </c>
      <c r="T13">
        <f>IF(J_V="SI",0,Datos!AJ13)</f>
        <v>350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0.33815502183406115</v>
      </c>
      <c r="E15" s="357">
        <f>IF(ISNUMBER(
   IF(D_I="SI",(Datos!J15-Datos!T15)/Datos!T15,(Datos!J15+Datos!AD15-(Datos!T15+Datos!AL15))/(Datos!T15+Datos!AL15))
     ),IF(D_I="SI",(Datos!J15-Datos!T15)/Datos!T15,(Datos!J15+Datos!AD15-(Datos!T15+Datos!AL15))/(Datos!T15+Datos!AL15))," - ")</f>
        <v>0.17151556156968878</v>
      </c>
      <c r="F15" s="357">
        <f>IF(ISNUMBER(
   IF(D_I="SI",(Datos!K15-Datos!U15)/Datos!U15,(Datos!K15+Datos!AE15-(Datos!U15+Datos!AM15))/(Datos!U15+Datos!AM15))
     ),IF(D_I="SI",(Datos!K15-Datos!U15)/Datos!U15,(Datos!K15+Datos!AE15-(Datos!U15+Datos!AM15))/(Datos!U15+Datos!AM15))," - ")</f>
        <v>0.31257208765859285</v>
      </c>
      <c r="G15" s="358">
        <f>IF(ISNUMBER(
   IF(D_I="SI",(Datos!L15-Datos!V15)/Datos!V15,(Datos!L15+Datos!AF15-(Datos!V15+Datos!AN15))/(Datos!V15+Datos!AN15))
     ),IF(D_I="SI",(Datos!L15-Datos!V15)/Datos!V15,(Datos!L15+Datos!AF15-(Datos!V15+Datos!AN15))/(Datos!V15+Datos!AN15))," - ")</f>
        <v>0.19109506618531888</v>
      </c>
      <c r="H15" s="234">
        <f>IF(ISNUMBER((Datos!M15-Datos!W15)/Datos!W15),(Datos!M15-Datos!W15)/Datos!W15," - ")</f>
        <v>0.3128654970760234</v>
      </c>
      <c r="I15" s="359">
        <f>IF(ISNUMBER((Tasas!C15-Datos!BE15)/Datos!BE15),(Tasas!C15-Datos!BE15)/Datos!BE15," - ")</f>
        <v>-9.2548837976562839E-2</v>
      </c>
      <c r="J15" s="358">
        <f>IF(ISNUMBER((Tasas!D15-Datos!BF15)/Datos!BF15),(Tasas!D15-Datos!BF15)/Datos!BF15," - ")</f>
        <v>2.2353775475600579E-4</v>
      </c>
      <c r="K15" s="360">
        <f>IF(ISNUMBER((Tasas!E15-Datos!BG15)/Datos!BG15),(Tasas!E15-Datos!BG15)/Datos!BG15," - ")</f>
        <v>-3.7198615262903467E-2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-0.125</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-0.25</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-0.40425531914893614</v>
      </c>
      <c r="E17" s="357">
        <f>IF(ISNUMBER(
   IF(D_I="SI",(Datos!J17-Datos!T17)/Datos!T17,(Datos!J17+Datos!AD17-(Datos!T17+Datos!AL17))/(Datos!T17+Datos!AL17))
     ),IF(D_I="SI",(Datos!J17-Datos!T17)/Datos!T17,(Datos!J17+Datos!AD17-(Datos!T17+Datos!AL17))/(Datos!T17+Datos!AL17))," - ")</f>
        <v>0.43848580441640378</v>
      </c>
      <c r="F17" s="357">
        <f>IF(ISNUMBER(
   IF(D_I="SI",(Datos!K17-Datos!U17)/Datos!U17,(Datos!K17+Datos!AE17-(Datos!U17+Datos!AM17))/(Datos!U17+Datos!AM17))
     ),IF(D_I="SI",(Datos!K17-Datos!U17)/Datos!U17,(Datos!K17+Datos!AE17-(Datos!U17+Datos!AM17))/(Datos!U17+Datos!AM17))," - ")</f>
        <v>0.38566552901023893</v>
      </c>
      <c r="G17" s="358">
        <f>IF(ISNUMBER(
   IF(D_I="SI",(Datos!L17-Datos!V17)/Datos!V17,(Datos!L17+Datos!AF17-(Datos!V17+Datos!AN17))/(Datos!V17+Datos!AN17))
     ),IF(D_I="SI",(Datos!L17-Datos!V17)/Datos!V17,(Datos!L17+Datos!AF17-(Datos!V17+Datos!AN17))/(Datos!V17+Datos!AN17))," - ")</f>
        <v>-0.23584905660377359</v>
      </c>
      <c r="H17" s="234">
        <f>IF(ISNUMBER((Datos!M17-Datos!W17)/Datos!W17),(Datos!M17-Datos!W17)/Datos!W17," - ")</f>
        <v>0.62244897959183676</v>
      </c>
      <c r="I17" s="359">
        <f>IF(ISNUMBER((Tasas!C17-Datos!BE17)/Datos!BE17),(Tasas!C17-Datos!BE17)/Datos!BE17," - ")</f>
        <v>-0.44853146203178734</v>
      </c>
      <c r="J17" s="358">
        <f>IF(ISNUMBER((Tasas!D17-Datos!BF17)/Datos!BF17),(Tasas!D17-Datos!BF17)/Datos!BF17," - ")</f>
        <v>0.17088066753795128</v>
      </c>
      <c r="K17" s="360">
        <f>IF(ISNUMBER((Tasas!E17-Datos!BG17)/Datos!BG17),(Tasas!E17-Datos!BG17)/Datos!BG17," - ")</f>
        <v>-0.18829439594205727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0.30103626943005179</v>
      </c>
      <c r="E18" s="363">
        <f>IF(ISNUMBER(
   IF(D_I="SI",(Datos!J18-Datos!T18)/Datos!T18,(Datos!J18+Datos!AD18-(Datos!T18+Datos!AL18))/(Datos!T18+Datos!AL18))
     ),IF(D_I="SI",(Datos!J18-Datos!T18)/Datos!T18,(Datos!J18+Datos!AD18-(Datos!T18+Datos!AL18))/(Datos!T18+Datos!AL18))," - ")</f>
        <v>0.19737244118545677</v>
      </c>
      <c r="F18" s="363">
        <f>IF(ISNUMBER(
   IF(D_I="SI",(Datos!K18-Datos!U18)/Datos!U18,(Datos!K18+Datos!AE18-(Datos!U18+Datos!AM18))/(Datos!U18+Datos!AM18))
     ),IF(D_I="SI",(Datos!K18-Datos!U18)/Datos!U18,(Datos!K18+Datos!AE18-(Datos!U18+Datos!AM18))/(Datos!U18+Datos!AM18))," - ")</f>
        <v>0.32031789910158948</v>
      </c>
      <c r="G18" s="364">
        <f>IF(ISNUMBER(
   IF(D_I="SI",(Datos!L18-Datos!V18)/Datos!V18,(Datos!L18+Datos!AF18-(Datos!V18+Datos!AN18))/(Datos!V18+Datos!AN18))
     ),IF(D_I="SI",(Datos!L18-Datos!V18)/Datos!V18,(Datos!L18+Datos!AF18-(Datos!V18+Datos!AN18))/(Datos!V18+Datos!AN18))," - ")</f>
        <v>0.1696</v>
      </c>
      <c r="H18" s="365">
        <f>IF(ISNUMBER((Datos!M18-Datos!W18)/Datos!W18),(Datos!M18-Datos!W18)/Datos!W18," - ")</f>
        <v>0.38181818181818183</v>
      </c>
      <c r="I18" s="366">
        <f>IF(ISNUMBER((Tasas!C18-Datos!BE18)/Datos!BE18),(Tasas!C18-Datos!BE18)/Datos!BE18," - ")</f>
        <v>-0.1141527348861554</v>
      </c>
      <c r="J18" s="364">
        <f>IF(ISNUMBER((Tasas!D18-Datos!BF18)/Datos!BF18),(Tasas!D18-Datos!BF18)/Datos!BF18," - ")</f>
        <v>4.6579905307987016E-2</v>
      </c>
      <c r="K18" s="367">
        <f>IF(ISNUMBER((Tasas!E18-Datos!BG18)/Datos!BG18),(Tasas!E18-Datos!BG18)/Datos!BG18," - ")</f>
        <v>-5.0630314744056312E-2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0.12261515601783061</v>
      </c>
      <c r="E19" s="372">
        <f>IF(ISNUMBER(
   IF(J_V="SI",(Datos!J19-Datos!T19)/Datos!T19,(Datos!J19+Datos!Z19-(Datos!T19+Datos!AH19))/(Datos!T19+Datos!AH19))
     ),IF(J_V="SI",(Datos!J19-Datos!T19)/Datos!T19,(Datos!J19+Datos!Z19-(Datos!T19+Datos!AH19))/(Datos!T19+Datos!AH19))," - ")</f>
        <v>0.11606825453252755</v>
      </c>
      <c r="F19" s="372">
        <f>IF(ISNUMBER(
   IF(J_V="SI",(Datos!K19-Datos!U19)/Datos!U19,(Datos!K19+Datos!AA19-(Datos!U19+Datos!AI19))/(Datos!U19+Datos!AI19))
     ),IF(J_V="SI",(Datos!K19-Datos!U19)/Datos!U19,(Datos!K19+Datos!AA19-(Datos!U19+Datos!AI19))/(Datos!U19+Datos!AI19))," - ")</f>
        <v>0.31980956323742499</v>
      </c>
      <c r="G19" s="373">
        <f>IF(ISNUMBER(
   IF(J_V="SI",(Datos!L19-Datos!V19)/Datos!V19,(Datos!L19+Datos!AB19-(Datos!V19+Datos!AJ19))/(Datos!V19+Datos!AJ19))
     ),IF(J_V="SI",(Datos!L19-Datos!V19)/Datos!V19,(Datos!L19+Datos!AB19-(Datos!V19+Datos!AJ19))/(Datos!V19+Datos!AJ19))," - ")</f>
        <v>5.4084380610412923E-2</v>
      </c>
      <c r="H19" s="374">
        <f>IF(ISNUMBER((Datos!M19-Datos!W19)/Datos!W19),(Datos!M19-Datos!W19)/Datos!W19," - ")</f>
        <v>0.17943336831059811</v>
      </c>
      <c r="I19" s="371">
        <f>IF(ISNUMBER((Tasas!C19-Datos!BE19)/Datos!BE19),(Tasas!C19-Datos!BE19)/Datos!BE19," - ")</f>
        <v>-0.20133600333611909</v>
      </c>
      <c r="J19" s="372">
        <f>IF(ISNUMBER((Tasas!D19-Datos!BF19)/Datos!BF19),(Tasas!D19-Datos!BF19)/Datos!BF19," - ")</f>
        <v>-0.33724667893706461</v>
      </c>
      <c r="K19" s="373">
        <f>IF(ISNUMBER((Tasas!E19-Datos!BG19)/Datos!BG19),(Tasas!E19-Datos!BG19)/Datos!BG19," - ")</f>
        <v>-0.15065430797095711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0.68952775496284346</v>
      </c>
      <c r="E21" s="282">
        <f t="shared" si="1"/>
        <v>0.26881838680837511</v>
      </c>
      <c r="F21" s="282">
        <f t="shared" si="1"/>
        <v>4.8061054490285311E-2</v>
      </c>
      <c r="G21" s="283">
        <f t="shared" si="1"/>
        <v>0.73719902512537494</v>
      </c>
      <c r="H21" s="289">
        <f t="shared" si="1"/>
        <v>0.29815664366085459</v>
      </c>
      <c r="I21" s="281">
        <f t="shared" si="1"/>
        <v>0.51813021658198688</v>
      </c>
      <c r="J21" s="282">
        <f t="shared" si="1"/>
        <v>0.37096370550826341</v>
      </c>
      <c r="K21" s="283">
        <f t="shared" si="1"/>
        <v>0.31781971198212128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vDnjrOkACnfbLYOtJtIczPU6TaD7s3oEUetxE5CNj6trdstE5EJMa4SNu+2nhPeb+85rSLdyzhe1qdSqglJqA==" saltValue="sYTRO8EJbzo43kEE5Ozr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